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12" yWindow="-54" windowWidth="20214" windowHeight="10352"/>
  </bookViews>
  <sheets>
    <sheet name="Queries" sheetId="1" r:id="rId1"/>
    <sheet name="GainLoss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N77" i="1"/>
  <c r="L74"/>
  <c r="M87"/>
  <c r="U66"/>
  <c r="I103"/>
  <c r="M77" s="1"/>
  <c r="U68"/>
  <c r="O66"/>
  <c r="Q66" s="1"/>
  <c r="M66"/>
  <c r="H66"/>
  <c r="V66" s="1"/>
  <c r="P65"/>
  <c r="U65"/>
  <c r="O65"/>
  <c r="Q65" s="1"/>
  <c r="M65"/>
  <c r="H65"/>
  <c r="V65" s="1"/>
  <c r="D6" i="3"/>
  <c r="O63" i="1"/>
  <c r="M63"/>
  <c r="H63"/>
  <c r="U63"/>
  <c r="O64"/>
  <c r="P64" s="1"/>
  <c r="M64"/>
  <c r="O62"/>
  <c r="M62"/>
  <c r="O61"/>
  <c r="M61"/>
  <c r="O60"/>
  <c r="M60"/>
  <c r="O59"/>
  <c r="P59" s="1"/>
  <c r="M59"/>
  <c r="O58"/>
  <c r="M58"/>
  <c r="O56"/>
  <c r="P56" s="1"/>
  <c r="M56"/>
  <c r="O57"/>
  <c r="M57"/>
  <c r="U64"/>
  <c r="H64"/>
  <c r="V64" s="1"/>
  <c r="U62"/>
  <c r="H62"/>
  <c r="V62" s="1"/>
  <c r="U61"/>
  <c r="H61"/>
  <c r="V61" s="1"/>
  <c r="U60"/>
  <c r="V60"/>
  <c r="H60"/>
  <c r="N16" i="2"/>
  <c r="U59" i="1"/>
  <c r="T59"/>
  <c r="H59"/>
  <c r="V59" s="1"/>
  <c r="U57"/>
  <c r="U56"/>
  <c r="U58"/>
  <c r="T58"/>
  <c r="H58"/>
  <c r="V58" s="1"/>
  <c r="H57"/>
  <c r="T57"/>
  <c r="V57"/>
  <c r="M68" l="1"/>
  <c r="M80" s="1"/>
  <c r="P62"/>
  <c r="Q62" s="1"/>
  <c r="P66"/>
  <c r="Q60"/>
  <c r="O68"/>
  <c r="N66"/>
  <c r="P60"/>
  <c r="P63"/>
  <c r="Q63" s="1"/>
  <c r="P58"/>
  <c r="Q58" s="1"/>
  <c r="P57"/>
  <c r="Q57" s="1"/>
  <c r="P61"/>
  <c r="Q59"/>
  <c r="Q64"/>
  <c r="Q56"/>
  <c r="T56"/>
  <c r="H56"/>
  <c r="B54"/>
  <c r="B53"/>
  <c r="V56"/>
  <c r="V55"/>
  <c r="F29" i="2"/>
  <c r="F31"/>
  <c r="E31"/>
  <c r="E54"/>
  <c r="E59"/>
  <c r="E58"/>
  <c r="E57"/>
  <c r="E56"/>
  <c r="E55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0"/>
  <c r="E29"/>
  <c r="B58"/>
  <c r="B59" s="1"/>
  <c r="B53"/>
  <c r="B54" s="1"/>
  <c r="B55" s="1"/>
  <c r="B56" s="1"/>
  <c r="B48"/>
  <c r="B49" s="1"/>
  <c r="B50" s="1"/>
  <c r="B51" s="1"/>
  <c r="B38"/>
  <c r="B39" s="1"/>
  <c r="B40" s="1"/>
  <c r="B41" s="1"/>
  <c r="B43" s="1"/>
  <c r="B44" s="1"/>
  <c r="B45" s="1"/>
  <c r="B46" s="1"/>
  <c r="B31"/>
  <c r="B30"/>
  <c r="E66"/>
  <c r="E65"/>
  <c r="E64"/>
  <c r="E63"/>
  <c r="E62"/>
  <c r="E61"/>
  <c r="E60"/>
  <c r="E67"/>
  <c r="E68"/>
  <c r="E69"/>
  <c r="E70"/>
  <c r="E71"/>
  <c r="E72"/>
  <c r="E73"/>
  <c r="E74"/>
  <c r="E75"/>
  <c r="E76"/>
  <c r="E77"/>
  <c r="F77" s="1"/>
  <c r="C26"/>
  <c r="B48" i="1"/>
  <c r="B47"/>
  <c r="B46"/>
  <c r="B45"/>
  <c r="B44"/>
  <c r="B43"/>
  <c r="B42"/>
  <c r="B41"/>
  <c r="B40"/>
  <c r="B39"/>
  <c r="B38"/>
  <c r="B37"/>
  <c r="B36"/>
  <c r="B35"/>
  <c r="B34"/>
  <c r="B33"/>
  <c r="B32"/>
  <c r="B31"/>
  <c r="B30"/>
  <c r="B29"/>
  <c r="G19" i="2"/>
  <c r="G18"/>
  <c r="G17"/>
  <c r="G16"/>
  <c r="G15"/>
  <c r="G14"/>
  <c r="G13"/>
  <c r="G12"/>
  <c r="G11"/>
  <c r="G10"/>
  <c r="G9"/>
  <c r="G8"/>
  <c r="G7"/>
  <c r="G6"/>
  <c r="G5"/>
  <c r="G4"/>
  <c r="D23"/>
  <c r="M19"/>
  <c r="M18"/>
  <c r="M17"/>
  <c r="M16"/>
  <c r="M15"/>
  <c r="M14"/>
  <c r="M13"/>
  <c r="M12"/>
  <c r="M11"/>
  <c r="M10"/>
  <c r="M9"/>
  <c r="M8"/>
  <c r="M7"/>
  <c r="M6"/>
  <c r="M5"/>
  <c r="M4"/>
  <c r="H19"/>
  <c r="H21" s="1"/>
  <c r="I19" s="1"/>
  <c r="N19" s="1"/>
  <c r="M17" i="1"/>
  <c r="B5"/>
  <c r="H26"/>
  <c r="M26" s="1"/>
  <c r="H25"/>
  <c r="M25" s="1"/>
  <c r="H24"/>
  <c r="M24" s="1"/>
  <c r="H23"/>
  <c r="M23" s="1"/>
  <c r="H22"/>
  <c r="M22" s="1"/>
  <c r="H21"/>
  <c r="M21" s="1"/>
  <c r="H20"/>
  <c r="M20" s="1"/>
  <c r="H19"/>
  <c r="M19" s="1"/>
  <c r="H18"/>
  <c r="M18" s="1"/>
  <c r="H17"/>
  <c r="H16"/>
  <c r="M16" s="1"/>
  <c r="H15"/>
  <c r="M15" s="1"/>
  <c r="H14"/>
  <c r="M14" s="1"/>
  <c r="H13"/>
  <c r="M13" s="1"/>
  <c r="H12"/>
  <c r="M12" s="1"/>
  <c r="H11"/>
  <c r="M11" s="1"/>
  <c r="H10"/>
  <c r="M10" s="1"/>
  <c r="H9"/>
  <c r="M9" s="1"/>
  <c r="H8"/>
  <c r="M8" s="1"/>
  <c r="H7"/>
  <c r="M7" s="1"/>
  <c r="M6"/>
  <c r="B4"/>
  <c r="N65" l="1"/>
  <c r="N63"/>
  <c r="M86"/>
  <c r="P68"/>
  <c r="N61"/>
  <c r="Q61"/>
  <c r="N56"/>
  <c r="N62"/>
  <c r="N64"/>
  <c r="N59"/>
  <c r="N60"/>
  <c r="N58"/>
  <c r="N57"/>
  <c r="F59" i="2"/>
  <c r="F58" s="1"/>
  <c r="F57" s="1"/>
  <c r="F56" s="1"/>
  <c r="F55" s="1"/>
  <c r="F54" s="1"/>
  <c r="F53" s="1"/>
  <c r="F52" s="1"/>
  <c r="F51" s="1"/>
  <c r="F50" s="1"/>
  <c r="F49" s="1"/>
  <c r="F48" s="1"/>
  <c r="F47" s="1"/>
  <c r="F46" s="1"/>
  <c r="F45" s="1"/>
  <c r="F44" s="1"/>
  <c r="F43" s="1"/>
  <c r="F42" s="1"/>
  <c r="F41" s="1"/>
  <c r="F40" s="1"/>
  <c r="F39" s="1"/>
  <c r="F38" s="1"/>
  <c r="F37" s="1"/>
  <c r="F36" s="1"/>
  <c r="F35" s="1"/>
  <c r="F34" s="1"/>
  <c r="F33" s="1"/>
  <c r="F32" s="1"/>
  <c r="F30" s="1"/>
  <c r="F76"/>
  <c r="F75" s="1"/>
  <c r="F74" s="1"/>
  <c r="F73" s="1"/>
  <c r="F72" s="1"/>
  <c r="F71" s="1"/>
  <c r="F70" s="1"/>
  <c r="F69" s="1"/>
  <c r="F68" s="1"/>
  <c r="F67" s="1"/>
  <c r="F66" s="1"/>
  <c r="F65" s="1"/>
  <c r="F64" s="1"/>
  <c r="F63" s="1"/>
  <c r="F62" s="1"/>
  <c r="F61" s="1"/>
  <c r="F60" s="1"/>
  <c r="B33"/>
  <c r="B34" s="1"/>
  <c r="B35" s="1"/>
  <c r="B36" s="1"/>
  <c r="I13"/>
  <c r="N13" s="1"/>
  <c r="I5"/>
  <c r="N5" s="1"/>
  <c r="I10"/>
  <c r="N10" s="1"/>
  <c r="I18"/>
  <c r="N18" s="1"/>
  <c r="I9"/>
  <c r="N9" s="1"/>
  <c r="I17"/>
  <c r="N17" s="1"/>
  <c r="I6"/>
  <c r="N6" s="1"/>
  <c r="I14"/>
  <c r="N14" s="1"/>
  <c r="I4"/>
  <c r="N4" s="1"/>
  <c r="I8"/>
  <c r="N8" s="1"/>
  <c r="I12"/>
  <c r="N12" s="1"/>
  <c r="I16"/>
  <c r="I20"/>
  <c r="I7"/>
  <c r="N7" s="1"/>
  <c r="I11"/>
  <c r="N11" s="1"/>
  <c r="I15"/>
  <c r="N15" s="1"/>
  <c r="Q68" i="1" l="1"/>
  <c r="L77"/>
  <c r="N68"/>
  <c r="I21" i="2"/>
</calcChain>
</file>

<file path=xl/sharedStrings.xml><?xml version="1.0" encoding="utf-8"?>
<sst xmlns="http://schemas.openxmlformats.org/spreadsheetml/2006/main" count="293" uniqueCount="112">
  <si>
    <t>symbol</t>
  </si>
  <si>
    <t>trade_date</t>
  </si>
  <si>
    <t>shares</t>
  </si>
  <si>
    <t>price</t>
  </si>
  <si>
    <t>buysell</t>
  </si>
  <si>
    <t>status</t>
  </si>
  <si>
    <t>account</t>
  </si>
  <si>
    <t>commission</t>
  </si>
  <si>
    <t>date_sold</t>
  </si>
  <si>
    <t>sell_price</t>
  </si>
  <si>
    <t>Account</t>
  </si>
  <si>
    <t>BRK6107-4777</t>
  </si>
  <si>
    <t>OPEN</t>
  </si>
  <si>
    <t>null</t>
  </si>
  <si>
    <t>GACIX</t>
  </si>
  <si>
    <t>2015-04-13</t>
  </si>
  <si>
    <t>HMCJX</t>
  </si>
  <si>
    <t>IJH</t>
  </si>
  <si>
    <t>Exposure</t>
  </si>
  <si>
    <t>DGAGX</t>
  </si>
  <si>
    <t>2015-04-28</t>
  </si>
  <si>
    <t>CLOSED</t>
  </si>
  <si>
    <t>SPY</t>
  </si>
  <si>
    <t>VNQ</t>
  </si>
  <si>
    <t>CSRSX</t>
  </si>
  <si>
    <t>2015-06-10</t>
  </si>
  <si>
    <t>IAU</t>
  </si>
  <si>
    <t>IXJ</t>
  </si>
  <si>
    <t>2015-05-05</t>
  </si>
  <si>
    <t>WMFFX</t>
  </si>
  <si>
    <t>TOLIX</t>
  </si>
  <si>
    <t>BIICX</t>
  </si>
  <si>
    <t>RCL</t>
  </si>
  <si>
    <t>XBI</t>
  </si>
  <si>
    <t>IJR</t>
  </si>
  <si>
    <t>MRFIX</t>
  </si>
  <si>
    <t>OIGYX</t>
  </si>
  <si>
    <t>RYT</t>
  </si>
  <si>
    <t>S</t>
  </si>
  <si>
    <t>B</t>
  </si>
  <si>
    <t>Gain/Loss</t>
  </si>
  <si>
    <t>Asset</t>
  </si>
  <si>
    <t>BlackRock</t>
  </si>
  <si>
    <t>Cohen &amp; Steers</t>
  </si>
  <si>
    <t>Sold all shares 04/28/2015</t>
  </si>
  <si>
    <t>Comments</t>
  </si>
  <si>
    <t>Dreyfuss Appreciation</t>
  </si>
  <si>
    <t>Gabelli Small Cap Growth</t>
  </si>
  <si>
    <t>Eagle Mid-Cap</t>
  </si>
  <si>
    <t>IShares Gold</t>
  </si>
  <si>
    <t>S&amp;P MidCap 400</t>
  </si>
  <si>
    <t>S&amp;P Small Cap 600</t>
  </si>
  <si>
    <t>Ishares Global Healthcare</t>
  </si>
  <si>
    <t>Total Gain/Loss</t>
  </si>
  <si>
    <t>MFS Research</t>
  </si>
  <si>
    <t>Oppenheimer Intl Growth</t>
  </si>
  <si>
    <t>Royal Caribbean</t>
  </si>
  <si>
    <t>Guggenheim S&amp;P 500</t>
  </si>
  <si>
    <t>Deutsche Global Inf.</t>
  </si>
  <si>
    <t>Vanguard REIT</t>
  </si>
  <si>
    <t>Amercian Funds WAMU</t>
  </si>
  <si>
    <t>SPDR S&amp;P Biotech</t>
  </si>
  <si>
    <t>Gain/Loss %</t>
  </si>
  <si>
    <t>Break Even</t>
  </si>
  <si>
    <t>Symbol</t>
  </si>
  <si>
    <t>N/A/</t>
  </si>
  <si>
    <t>N/A</t>
  </si>
  <si>
    <t>Date</t>
  </si>
  <si>
    <t>Gain/Loss (%)</t>
  </si>
  <si>
    <t>Weight</t>
  </si>
  <si>
    <t>Ronda Larsen - Brokerage BRK6107-4777 As Of 3-23-2016</t>
  </si>
  <si>
    <t>Shares</t>
  </si>
  <si>
    <t>Daily Change</t>
  </si>
  <si>
    <t>Gain/Loss Since 2nd Quarter</t>
  </si>
  <si>
    <t>Asset Allocation</t>
  </si>
  <si>
    <t>BRK20X57S71</t>
  </si>
  <si>
    <t>VDE</t>
  </si>
  <si>
    <t>XLP</t>
  </si>
  <si>
    <t>MV</t>
  </si>
  <si>
    <t>Current Price</t>
  </si>
  <si>
    <t>Sell Price</t>
  </si>
  <si>
    <t>Date Sold</t>
  </si>
  <si>
    <t>Commission</t>
  </si>
  <si>
    <t>Status</t>
  </si>
  <si>
    <t>Buy/Sell</t>
  </si>
  <si>
    <t>Price</t>
  </si>
  <si>
    <t>Trade Date</t>
  </si>
  <si>
    <t>DivEx Date</t>
  </si>
  <si>
    <t>Rate</t>
  </si>
  <si>
    <t>Amount</t>
  </si>
  <si>
    <t>Dividend</t>
  </si>
  <si>
    <t>Days</t>
  </si>
  <si>
    <t>Gain/Loss(%)</t>
  </si>
  <si>
    <t>RondasCash</t>
  </si>
  <si>
    <t>RondasCash1</t>
  </si>
  <si>
    <t>HA</t>
  </si>
  <si>
    <t>Dividend Payments</t>
  </si>
  <si>
    <t>bingo, michael, billy joel</t>
  </si>
  <si>
    <t>Portfolio</t>
  </si>
  <si>
    <t>Total Payments</t>
  </si>
  <si>
    <t>MED</t>
  </si>
  <si>
    <t>Buying Power</t>
  </si>
  <si>
    <t>Total Account</t>
  </si>
  <si>
    <t>Purchasing Power (Before)</t>
  </si>
  <si>
    <t>Purchasing Power (After)</t>
  </si>
  <si>
    <t>Buy 45 VDE@$76.60</t>
  </si>
  <si>
    <t>Buy 24 RCL@$107.40</t>
  </si>
  <si>
    <t>Yield</t>
  </si>
  <si>
    <t>Holdings</t>
  </si>
  <si>
    <t>Cash</t>
  </si>
  <si>
    <t>https://www.merrilledge.com/</t>
  </si>
  <si>
    <t>Total Return</t>
  </si>
</sst>
</file>

<file path=xl/styles.xml><?xml version="1.0" encoding="utf-8"?>
<styleSheet xmlns="http://schemas.openxmlformats.org/spreadsheetml/2006/main">
  <numFmts count="5">
    <numFmt numFmtId="8" formatCode="&quot;$&quot;#,##0.00_);[Red]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#,##0.0000_);\(#,##0.0000\)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9" fontId="5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14" fontId="0" fillId="0" borderId="0" xfId="0" applyNumberFormat="1"/>
    <xf numFmtId="49" fontId="0" fillId="0" borderId="0" xfId="0" applyNumberFormat="1"/>
    <xf numFmtId="164" fontId="0" fillId="0" borderId="0" xfId="0" applyNumberFormat="1"/>
    <xf numFmtId="2" fontId="0" fillId="0" borderId="0" xfId="0" applyNumberFormat="1"/>
    <xf numFmtId="8" fontId="0" fillId="0" borderId="0" xfId="0" applyNumberFormat="1"/>
    <xf numFmtId="10" fontId="0" fillId="0" borderId="0" xfId="0" applyNumberFormat="1"/>
    <xf numFmtId="0" fontId="2" fillId="0" borderId="0" xfId="0" applyFont="1"/>
    <xf numFmtId="4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4" fillId="0" borderId="0" xfId="0" applyFont="1"/>
    <xf numFmtId="43" fontId="0" fillId="0" borderId="0" xfId="1" applyFont="1"/>
    <xf numFmtId="44" fontId="0" fillId="0" borderId="0" xfId="2" applyFont="1"/>
    <xf numFmtId="44" fontId="0" fillId="0" borderId="0" xfId="0" applyNumberFormat="1"/>
    <xf numFmtId="0" fontId="0" fillId="0" borderId="0" xfId="0" applyNumberFormat="1"/>
    <xf numFmtId="10" fontId="0" fillId="0" borderId="0" xfId="3" applyNumberFormat="1" applyFont="1"/>
    <xf numFmtId="14" fontId="1" fillId="0" borderId="0" xfId="0" applyNumberFormat="1" applyFont="1"/>
    <xf numFmtId="0" fontId="6" fillId="0" borderId="0" xfId="0" applyFont="1"/>
    <xf numFmtId="43" fontId="0" fillId="0" borderId="0" xfId="0" applyNumberFormat="1"/>
    <xf numFmtId="9" fontId="0" fillId="0" borderId="0" xfId="3" applyFont="1"/>
    <xf numFmtId="10" fontId="0" fillId="0" borderId="0" xfId="2" applyNumberFormat="1" applyFont="1"/>
    <xf numFmtId="4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/>
    </xf>
    <xf numFmtId="165" fontId="0" fillId="0" borderId="0" xfId="2" applyNumberFormat="1" applyFont="1"/>
    <xf numFmtId="0" fontId="0" fillId="2" borderId="0" xfId="0" applyFill="1"/>
    <xf numFmtId="14" fontId="0" fillId="2" borderId="0" xfId="0" applyNumberFormat="1" applyFill="1"/>
    <xf numFmtId="43" fontId="0" fillId="2" borderId="0" xfId="1" applyFont="1" applyFill="1"/>
    <xf numFmtId="44" fontId="0" fillId="2" borderId="0" xfId="2" applyFont="1" applyFill="1"/>
    <xf numFmtId="10" fontId="0" fillId="2" borderId="0" xfId="3" applyNumberFormat="1" applyFont="1" applyFill="1"/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pieChart>
        <c:varyColors val="1"/>
        <c:ser>
          <c:idx val="0"/>
          <c:order val="0"/>
          <c:cat>
            <c:strRef>
              <c:f>Queries!$L$86:$L$87</c:f>
              <c:strCache>
                <c:ptCount val="2"/>
                <c:pt idx="0">
                  <c:v>Holdings</c:v>
                </c:pt>
                <c:pt idx="1">
                  <c:v>Cash</c:v>
                </c:pt>
              </c:strCache>
            </c:strRef>
          </c:cat>
          <c:val>
            <c:numRef>
              <c:f>Queries!$M$86:$M$87</c:f>
              <c:numCache>
                <c:formatCode>_("$"* #,##0.00_);_("$"* \(#,##0.00\);_("$"* "-"??_);_(@_)</c:formatCode>
                <c:ptCount val="2"/>
                <c:pt idx="0">
                  <c:v>26067.82</c:v>
                </c:pt>
                <c:pt idx="1">
                  <c:v>62846.9</c:v>
                </c:pt>
              </c:numCache>
            </c:numRef>
          </c:val>
        </c:ser>
        <c:firstSliceAng val="0"/>
      </c:pieChart>
    </c:plotArea>
    <c:legend>
      <c:legendPos val="r"/>
      <c:layout/>
    </c:legend>
    <c:plotVisOnly val="1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pieChart>
        <c:varyColors val="1"/>
        <c:ser>
          <c:idx val="0"/>
          <c:order val="0"/>
          <c:cat>
            <c:strRef>
              <c:f>GainLoss!$M$4:$M$19</c:f>
              <c:strCache>
                <c:ptCount val="16"/>
                <c:pt idx="0">
                  <c:v>SPDR S&amp;P Biotech</c:v>
                </c:pt>
                <c:pt idx="1">
                  <c:v>BlackRock</c:v>
                </c:pt>
                <c:pt idx="2">
                  <c:v>Amercian Funds WAMU</c:v>
                </c:pt>
                <c:pt idx="3">
                  <c:v>Eagle Mid-Cap</c:v>
                </c:pt>
                <c:pt idx="4">
                  <c:v>Oppenheimer Intl Growth</c:v>
                </c:pt>
                <c:pt idx="5">
                  <c:v>MFS Research</c:v>
                </c:pt>
                <c:pt idx="6">
                  <c:v>Gabelli Small Cap Growth</c:v>
                </c:pt>
                <c:pt idx="7">
                  <c:v>Deutsche Global Inf.</c:v>
                </c:pt>
                <c:pt idx="8">
                  <c:v>S&amp;P Small Cap 600</c:v>
                </c:pt>
                <c:pt idx="9">
                  <c:v>S&amp;P MidCap 400</c:v>
                </c:pt>
                <c:pt idx="10">
                  <c:v>Ishares Global Healthcare</c:v>
                </c:pt>
                <c:pt idx="11">
                  <c:v>Cohen &amp; Steers</c:v>
                </c:pt>
                <c:pt idx="12">
                  <c:v>Royal Caribbean</c:v>
                </c:pt>
                <c:pt idx="13">
                  <c:v>Vanguard REIT</c:v>
                </c:pt>
                <c:pt idx="14">
                  <c:v>Guggenheim S&amp;P 500</c:v>
                </c:pt>
                <c:pt idx="15">
                  <c:v>IShares Gold</c:v>
                </c:pt>
              </c:strCache>
            </c:strRef>
          </c:cat>
          <c:val>
            <c:numRef>
              <c:f>GainLoss!$N$4:$N$19</c:f>
              <c:numCache>
                <c:formatCode>0.00%</c:formatCode>
                <c:ptCount val="16"/>
                <c:pt idx="0">
                  <c:v>2.3798200927562727E-2</c:v>
                </c:pt>
                <c:pt idx="1">
                  <c:v>0.19608216723737762</c:v>
                </c:pt>
                <c:pt idx="2">
                  <c:v>0.147431147218651</c:v>
                </c:pt>
                <c:pt idx="3">
                  <c:v>4.8650823444977565E-2</c:v>
                </c:pt>
                <c:pt idx="4">
                  <c:v>9.8041845341966333E-2</c:v>
                </c:pt>
                <c:pt idx="5">
                  <c:v>5.8481574921356992E-2</c:v>
                </c:pt>
                <c:pt idx="6">
                  <c:v>4.8650676014665779E-2</c:v>
                </c:pt>
                <c:pt idx="7">
                  <c:v>4.8652101174346325E-2</c:v>
                </c:pt>
                <c:pt idx="8">
                  <c:v>4.6643019172280045E-2</c:v>
                </c:pt>
                <c:pt idx="9">
                  <c:v>4.8780512975906895E-2</c:v>
                </c:pt>
                <c:pt idx="10">
                  <c:v>2.4485226180458536E-2</c:v>
                </c:pt>
                <c:pt idx="11">
                  <c:v>2.4572947215967769E-2</c:v>
                </c:pt>
                <c:pt idx="12">
                  <c:v>2.4615456289197729E-2</c:v>
                </c:pt>
                <c:pt idx="13">
                  <c:v>4.8663797312414221E-2</c:v>
                </c:pt>
                <c:pt idx="14">
                  <c:v>3.8747634542076789E-2</c:v>
                </c:pt>
                <c:pt idx="15">
                  <c:v>7.3702870030793774E-2</c:v>
                </c:pt>
              </c:numCache>
            </c:numRef>
          </c:val>
        </c:ser>
        <c:firstSliceAng val="0"/>
      </c:pieChart>
    </c:plotArea>
    <c:legend>
      <c:legendPos val="r"/>
    </c:legend>
    <c:plotVisOnly val="1"/>
  </c:chart>
  <c:printSettings>
    <c:headerFooter/>
    <c:pageMargins b="0.75000000000001465" l="0.70000000000000062" r="0.70000000000000062" t="0.7500000000000146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323490</xdr:colOff>
      <xdr:row>73</xdr:row>
      <xdr:rowOff>75481</xdr:rowOff>
    </xdr:from>
    <xdr:to>
      <xdr:col>21</xdr:col>
      <xdr:colOff>528367</xdr:colOff>
      <xdr:row>88</xdr:row>
      <xdr:rowOff>64698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142875</xdr:colOff>
      <xdr:row>28</xdr:row>
      <xdr:rowOff>35720</xdr:rowOff>
    </xdr:from>
    <xdr:to>
      <xdr:col>13</xdr:col>
      <xdr:colOff>440532</xdr:colOff>
      <xdr:row>55</xdr:row>
      <xdr:rowOff>35719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V103"/>
  <sheetViews>
    <sheetView tabSelected="1" topLeftCell="A48" zoomScale="80" zoomScaleNormal="80" workbookViewId="0">
      <selection activeCell="N78" sqref="N78"/>
    </sheetView>
  </sheetViews>
  <sheetFormatPr defaultRowHeight="14.3"/>
  <cols>
    <col min="2" max="2" width="12.125" customWidth="1"/>
    <col min="3" max="3" width="12" style="2" bestFit="1" customWidth="1"/>
    <col min="4" max="4" width="15.75" customWidth="1"/>
    <col min="7" max="7" width="14.375" bestFit="1" customWidth="1"/>
    <col min="8" max="8" width="14.25" bestFit="1" customWidth="1"/>
    <col min="9" max="9" width="13" bestFit="1" customWidth="1"/>
    <col min="10" max="10" width="11.375" bestFit="1" customWidth="1"/>
    <col min="11" max="11" width="10.875" bestFit="1" customWidth="1"/>
    <col min="12" max="12" width="13.625" customWidth="1"/>
    <col min="13" max="14" width="12.75" customWidth="1"/>
    <col min="15" max="15" width="13.25" customWidth="1"/>
    <col min="16" max="17" width="12.75" customWidth="1"/>
    <col min="18" max="18" width="10.25" bestFit="1" customWidth="1"/>
    <col min="21" max="21" width="9.25" bestFit="1" customWidth="1"/>
  </cols>
  <sheetData>
    <row r="1" spans="2:13">
      <c r="B1" s="1" t="s">
        <v>10</v>
      </c>
    </row>
    <row r="2" spans="2:13">
      <c r="B2" t="s">
        <v>11</v>
      </c>
    </row>
    <row r="4" spans="2:13">
      <c r="B4" t="str">
        <f>"insert into accounts(account)values('"&amp;B2&amp;"')"</f>
        <v>insert into accounts(account)values('BRK6107-4777')</v>
      </c>
    </row>
    <row r="5" spans="2:13">
      <c r="B5" t="str">
        <f>"delete from accounts where account='"&amp;$B$2&amp;"'"</f>
        <v>delete from accounts where account='BRK6107-4777'</v>
      </c>
    </row>
    <row r="6" spans="2:13">
      <c r="B6" s="1" t="s">
        <v>0</v>
      </c>
      <c r="C6" s="18" t="s">
        <v>1</v>
      </c>
      <c r="D6" s="1" t="s">
        <v>2</v>
      </c>
      <c r="E6" s="1" t="s">
        <v>3</v>
      </c>
      <c r="F6" s="1" t="s">
        <v>4</v>
      </c>
      <c r="G6" s="1" t="s">
        <v>5</v>
      </c>
      <c r="H6" s="1" t="s">
        <v>6</v>
      </c>
      <c r="I6" s="1" t="s">
        <v>7</v>
      </c>
      <c r="J6" s="1" t="s">
        <v>8</v>
      </c>
      <c r="K6" s="1" t="s">
        <v>9</v>
      </c>
      <c r="M6" t="str">
        <f>"delete from trades where account='"&amp;B2&amp;"'"</f>
        <v>delete from trades where account='BRK6107-4777'</v>
      </c>
    </row>
    <row r="7" spans="2:13">
      <c r="B7" t="s">
        <v>19</v>
      </c>
      <c r="C7" s="2" t="s">
        <v>15</v>
      </c>
      <c r="D7" s="13">
        <v>373.03</v>
      </c>
      <c r="E7">
        <v>53.48</v>
      </c>
      <c r="F7" t="s">
        <v>38</v>
      </c>
      <c r="G7" t="s">
        <v>21</v>
      </c>
      <c r="H7" t="str">
        <f>$B$2</f>
        <v>BRK6107-4777</v>
      </c>
      <c r="I7">
        <v>0</v>
      </c>
      <c r="J7" s="3" t="s">
        <v>20</v>
      </c>
      <c r="K7">
        <v>54.3</v>
      </c>
      <c r="M7" t="str">
        <f>"insert into trades("&amp;$B$6&amp;","&amp;$C$6&amp;","&amp;$D$6&amp;","&amp;$E$6&amp;","&amp;$F$6&amp;","&amp;$G$6&amp;","&amp;$H$6&amp;","&amp;$I$6&amp;","&amp;$J$6&amp;","&amp;$K$6&amp;")values('"&amp;B7&amp;"','"&amp;C7&amp;"',"&amp;D7&amp;","&amp;E7&amp;",'"&amp;F7&amp;"','"&amp;G7&amp;"','"&amp;H7&amp;"',0.00,"&amp;IF(J7="null","null","'"&amp;J7&amp;"'")&amp;","&amp;IF(K7="null","null",K7)&amp;");"</f>
        <v>insert into trades(symbol,trade_date,shares,price,buysell,status,account,commission,date_sold,sell_price)values('DGAGX','2015-04-13',373.03,53.48,'S','CLOSED','BRK6107-4777',0.00,'2015-04-28',54.3);</v>
      </c>
    </row>
    <row r="8" spans="2:13">
      <c r="B8" t="s">
        <v>14</v>
      </c>
      <c r="C8" s="2" t="s">
        <v>15</v>
      </c>
      <c r="D8" s="13">
        <v>190.16</v>
      </c>
      <c r="E8">
        <v>52.06</v>
      </c>
      <c r="F8" t="s">
        <v>39</v>
      </c>
      <c r="G8" t="s">
        <v>12</v>
      </c>
      <c r="H8" t="str">
        <f t="shared" ref="H8:H26" si="0">$B$2</f>
        <v>BRK6107-4777</v>
      </c>
      <c r="I8">
        <v>0</v>
      </c>
      <c r="J8" s="3" t="s">
        <v>13</v>
      </c>
      <c r="K8" t="s">
        <v>13</v>
      </c>
      <c r="M8" t="str">
        <f t="shared" ref="M8:M26" si="1">"insert into trades("&amp;$B$6&amp;","&amp;$C$6&amp;","&amp;$D$6&amp;","&amp;$E$6&amp;","&amp;$F$6&amp;","&amp;$G$6&amp;","&amp;$H$6&amp;","&amp;$I$6&amp;","&amp;$J$6&amp;","&amp;$K$6&amp;")values('"&amp;B8&amp;"','"&amp;C8&amp;"',"&amp;D8&amp;","&amp;E8&amp;",'"&amp;F8&amp;"','"&amp;G8&amp;"','"&amp;H8&amp;"',0.00,"&amp;IF(J8="null","null","'"&amp;J8&amp;"'")&amp;","&amp;IF(K8="null","null",K8)&amp;");"</f>
        <v>insert into trades(symbol,trade_date,shares,price,buysell,status,account,commission,date_sold,sell_price)values('GACIX','2015-04-13',190.16,52.06,'B','OPEN','BRK6107-4777',0.00,null,null);</v>
      </c>
    </row>
    <row r="9" spans="2:13">
      <c r="B9" t="s">
        <v>16</v>
      </c>
      <c r="C9" s="2" t="s">
        <v>15</v>
      </c>
      <c r="D9" s="13">
        <v>317.3</v>
      </c>
      <c r="E9">
        <v>31.2</v>
      </c>
      <c r="F9" t="s">
        <v>39</v>
      </c>
      <c r="G9" t="s">
        <v>12</v>
      </c>
      <c r="H9" t="str">
        <f t="shared" si="0"/>
        <v>BRK6107-4777</v>
      </c>
      <c r="I9">
        <v>0</v>
      </c>
      <c r="J9" s="3" t="s">
        <v>13</v>
      </c>
      <c r="K9" t="s">
        <v>13</v>
      </c>
      <c r="M9" t="str">
        <f t="shared" si="1"/>
        <v>insert into trades(symbol,trade_date,shares,price,buysell,status,account,commission,date_sold,sell_price)values('HMCJX','2015-04-13',317.3,31.2,'B','OPEN','BRK6107-4777',0.00,null,null);</v>
      </c>
    </row>
    <row r="10" spans="2:13">
      <c r="B10" t="s">
        <v>17</v>
      </c>
      <c r="C10" s="2" t="s">
        <v>15</v>
      </c>
      <c r="D10" s="13">
        <v>65</v>
      </c>
      <c r="E10">
        <v>152.709</v>
      </c>
      <c r="F10" t="s">
        <v>39</v>
      </c>
      <c r="G10" t="s">
        <v>12</v>
      </c>
      <c r="H10" t="str">
        <f t="shared" si="0"/>
        <v>BRK6107-4777</v>
      </c>
      <c r="I10">
        <v>0</v>
      </c>
      <c r="J10" s="3" t="s">
        <v>13</v>
      </c>
      <c r="K10" t="s">
        <v>13</v>
      </c>
      <c r="M10" t="str">
        <f t="shared" si="1"/>
        <v>insert into trades(symbol,trade_date,shares,price,buysell,status,account,commission,date_sold,sell_price)values('IJH','2015-04-13',65,152.709,'B','OPEN','BRK6107-4777',0.00,null,null);</v>
      </c>
    </row>
    <row r="11" spans="2:13">
      <c r="B11" t="s">
        <v>22</v>
      </c>
      <c r="C11" s="2" t="s">
        <v>15</v>
      </c>
      <c r="D11" s="13">
        <v>190</v>
      </c>
      <c r="E11">
        <v>209.29900000000001</v>
      </c>
      <c r="F11" t="s">
        <v>38</v>
      </c>
      <c r="G11" t="s">
        <v>21</v>
      </c>
      <c r="H11" t="str">
        <f t="shared" si="0"/>
        <v>BRK6107-4777</v>
      </c>
      <c r="I11">
        <v>0</v>
      </c>
      <c r="J11" s="3" t="s">
        <v>20</v>
      </c>
      <c r="K11">
        <v>210.376</v>
      </c>
      <c r="M11" t="str">
        <f t="shared" si="1"/>
        <v>insert into trades(symbol,trade_date,shares,price,buysell,status,account,commission,date_sold,sell_price)values('SPY','2015-04-13',190,209.299,'S','CLOSED','BRK6107-4777',0.00,'2015-04-28',210.376);</v>
      </c>
    </row>
    <row r="12" spans="2:13">
      <c r="B12" t="s">
        <v>23</v>
      </c>
      <c r="C12" s="2" t="s">
        <v>15</v>
      </c>
      <c r="D12" s="13">
        <v>120</v>
      </c>
      <c r="E12">
        <v>82.515000000000001</v>
      </c>
      <c r="F12" t="s">
        <v>39</v>
      </c>
      <c r="G12" t="s">
        <v>12</v>
      </c>
      <c r="H12" t="str">
        <f t="shared" si="0"/>
        <v>BRK6107-4777</v>
      </c>
      <c r="I12">
        <v>0</v>
      </c>
      <c r="J12" s="3" t="s">
        <v>13</v>
      </c>
      <c r="K12" t="s">
        <v>13</v>
      </c>
      <c r="M12" t="str">
        <f t="shared" si="1"/>
        <v>insert into trades(symbol,trade_date,shares,price,buysell,status,account,commission,date_sold,sell_price)values('VNQ','2015-04-13',120,82.515,'B','OPEN','BRK6107-4777',0.00,null,null);</v>
      </c>
    </row>
    <row r="13" spans="2:13">
      <c r="B13" t="s">
        <v>24</v>
      </c>
      <c r="C13" s="2" t="s">
        <v>25</v>
      </c>
      <c r="D13" s="13">
        <v>67.277000000000001</v>
      </c>
      <c r="E13">
        <v>74.319999999999993</v>
      </c>
      <c r="F13" t="s">
        <v>39</v>
      </c>
      <c r="G13" t="s">
        <v>12</v>
      </c>
      <c r="H13" t="str">
        <f t="shared" si="0"/>
        <v>BRK6107-4777</v>
      </c>
      <c r="I13">
        <v>0</v>
      </c>
      <c r="J13" s="3" t="s">
        <v>13</v>
      </c>
      <c r="K13" t="s">
        <v>13</v>
      </c>
      <c r="M13" t="str">
        <f t="shared" si="1"/>
        <v>insert into trades(symbol,trade_date,shares,price,buysell,status,account,commission,date_sold,sell_price)values('CSRSX','2015-06-10',67.277,74.32,'B','OPEN','BRK6107-4777',0.00,null,null);</v>
      </c>
    </row>
    <row r="14" spans="2:13">
      <c r="B14" t="s">
        <v>26</v>
      </c>
      <c r="C14" s="2" t="s">
        <v>25</v>
      </c>
      <c r="D14" s="13">
        <v>435</v>
      </c>
      <c r="E14">
        <v>11.4742</v>
      </c>
      <c r="F14" t="s">
        <v>39</v>
      </c>
      <c r="G14" t="s">
        <v>12</v>
      </c>
      <c r="H14" t="str">
        <f t="shared" si="0"/>
        <v>BRK6107-4777</v>
      </c>
      <c r="I14">
        <v>0</v>
      </c>
      <c r="J14" s="3" t="s">
        <v>13</v>
      </c>
      <c r="K14" t="s">
        <v>13</v>
      </c>
      <c r="M14" t="str">
        <f t="shared" si="1"/>
        <v>insert into trades(symbol,trade_date,shares,price,buysell,status,account,commission,date_sold,sell_price)values('IAU','2015-06-10',435,11.4742,'B','OPEN','BRK6107-4777',0.00,null,null);</v>
      </c>
    </row>
    <row r="15" spans="2:13">
      <c r="B15" t="s">
        <v>27</v>
      </c>
      <c r="C15" s="2" t="s">
        <v>25</v>
      </c>
      <c r="D15" s="13">
        <v>45</v>
      </c>
      <c r="E15">
        <v>110.72</v>
      </c>
      <c r="F15" t="s">
        <v>39</v>
      </c>
      <c r="G15" t="s">
        <v>12</v>
      </c>
      <c r="H15" t="str">
        <f t="shared" si="0"/>
        <v>BRK6107-4777</v>
      </c>
      <c r="I15">
        <v>0</v>
      </c>
      <c r="J15" s="3" t="s">
        <v>13</v>
      </c>
      <c r="K15" t="s">
        <v>13</v>
      </c>
      <c r="M15" t="str">
        <f t="shared" si="1"/>
        <v>insert into trades(symbol,trade_date,shares,price,buysell,status,account,commission,date_sold,sell_price)values('IXJ','2015-06-10',45,110.72,'B','OPEN','BRK6107-4777',0.00,null,null);</v>
      </c>
    </row>
    <row r="16" spans="2:13">
      <c r="B16" t="s">
        <v>26</v>
      </c>
      <c r="C16" s="2" t="s">
        <v>28</v>
      </c>
      <c r="D16" s="13">
        <v>565</v>
      </c>
      <c r="E16">
        <v>11.569000000000001</v>
      </c>
      <c r="F16" t="s">
        <v>39</v>
      </c>
      <c r="G16" t="s">
        <v>12</v>
      </c>
      <c r="H16" t="str">
        <f t="shared" si="0"/>
        <v>BRK6107-4777</v>
      </c>
      <c r="I16">
        <v>0</v>
      </c>
      <c r="J16" s="3" t="s">
        <v>13</v>
      </c>
      <c r="K16" t="s">
        <v>13</v>
      </c>
      <c r="M16" t="str">
        <f t="shared" si="1"/>
        <v>insert into trades(symbol,trade_date,shares,price,buysell,status,account,commission,date_sold,sell_price)values('IAU','2015-05-05',565,11.569,'B','OPEN','BRK6107-4777',0.00,null,null);</v>
      </c>
    </row>
    <row r="17" spans="2:13">
      <c r="B17" t="s">
        <v>26</v>
      </c>
      <c r="C17" s="2" t="s">
        <v>28</v>
      </c>
      <c r="D17" s="13">
        <v>300</v>
      </c>
      <c r="E17">
        <v>11.57</v>
      </c>
      <c r="F17" t="s">
        <v>39</v>
      </c>
      <c r="G17" t="s">
        <v>12</v>
      </c>
      <c r="H17" t="str">
        <f t="shared" si="0"/>
        <v>BRK6107-4777</v>
      </c>
      <c r="I17">
        <v>0</v>
      </c>
      <c r="J17" s="3" t="s">
        <v>13</v>
      </c>
      <c r="K17" t="s">
        <v>13</v>
      </c>
      <c r="M17" t="str">
        <f t="shared" si="1"/>
        <v>insert into trades(symbol,trade_date,shares,price,buysell,status,account,commission,date_sold,sell_price)values('IAU','2015-05-05',300,11.57,'B','OPEN','BRK6107-4777',0.00,null,null);</v>
      </c>
    </row>
    <row r="18" spans="2:13">
      <c r="B18" t="s">
        <v>29</v>
      </c>
      <c r="C18" s="2" t="s">
        <v>28</v>
      </c>
      <c r="D18" s="13">
        <v>728.68600000000004</v>
      </c>
      <c r="E18">
        <v>41.17</v>
      </c>
      <c r="F18" t="s">
        <v>39</v>
      </c>
      <c r="G18" t="s">
        <v>12</v>
      </c>
      <c r="H18" t="str">
        <f t="shared" si="0"/>
        <v>BRK6107-4777</v>
      </c>
      <c r="I18">
        <v>0</v>
      </c>
      <c r="J18" s="3" t="s">
        <v>13</v>
      </c>
      <c r="K18" t="s">
        <v>13</v>
      </c>
      <c r="M18" t="str">
        <f t="shared" si="1"/>
        <v>insert into trades(symbol,trade_date,shares,price,buysell,status,account,commission,date_sold,sell_price)values('WMFFX','2015-05-05',728.686,41.17,'B','OPEN','BRK6107-4777',0.00,null,null);</v>
      </c>
    </row>
    <row r="19" spans="2:13">
      <c r="B19" t="s">
        <v>30</v>
      </c>
      <c r="C19" s="2" t="s">
        <v>15</v>
      </c>
      <c r="D19" s="13">
        <v>668.91899999999998</v>
      </c>
      <c r="E19">
        <v>14.8</v>
      </c>
      <c r="F19" t="s">
        <v>39</v>
      </c>
      <c r="G19" t="s">
        <v>12</v>
      </c>
      <c r="H19" t="str">
        <f t="shared" si="0"/>
        <v>BRK6107-4777</v>
      </c>
      <c r="I19">
        <v>0</v>
      </c>
      <c r="J19" s="3" t="s">
        <v>13</v>
      </c>
      <c r="K19" t="s">
        <v>13</v>
      </c>
      <c r="M19" t="str">
        <f t="shared" si="1"/>
        <v>insert into trades(symbol,trade_date,shares,price,buysell,status,account,commission,date_sold,sell_price)values('TOLIX','2015-04-13',668.919,14.8,'B','OPEN','BRK6107-4777',0.00,null,null);</v>
      </c>
    </row>
    <row r="20" spans="2:13">
      <c r="B20" t="s">
        <v>31</v>
      </c>
      <c r="C20" s="2" t="s">
        <v>15</v>
      </c>
      <c r="D20" s="13">
        <v>3503.0729999999999</v>
      </c>
      <c r="E20">
        <v>11.39</v>
      </c>
      <c r="F20" t="s">
        <v>39</v>
      </c>
      <c r="G20" t="s">
        <v>12</v>
      </c>
      <c r="H20" t="str">
        <f t="shared" si="0"/>
        <v>BRK6107-4777</v>
      </c>
      <c r="I20">
        <v>0</v>
      </c>
      <c r="J20" s="3" t="s">
        <v>13</v>
      </c>
      <c r="K20" t="s">
        <v>13</v>
      </c>
      <c r="M20" t="str">
        <f t="shared" si="1"/>
        <v>insert into trades(symbol,trade_date,shares,price,buysell,status,account,commission,date_sold,sell_price)values('BIICX','2015-04-13',3503.073,11.39,'B','OPEN','BRK6107-4777',0.00,null,null);</v>
      </c>
    </row>
    <row r="21" spans="2:13">
      <c r="B21" t="s">
        <v>32</v>
      </c>
      <c r="C21" s="2" t="s">
        <v>25</v>
      </c>
      <c r="D21" s="13">
        <v>65</v>
      </c>
      <c r="E21">
        <v>77.059899999999999</v>
      </c>
      <c r="F21" t="s">
        <v>39</v>
      </c>
      <c r="G21" t="s">
        <v>12</v>
      </c>
      <c r="H21" t="str">
        <f t="shared" si="0"/>
        <v>BRK6107-4777</v>
      </c>
      <c r="I21">
        <v>0</v>
      </c>
      <c r="J21" s="3" t="s">
        <v>13</v>
      </c>
      <c r="K21" t="s">
        <v>13</v>
      </c>
      <c r="M21" t="str">
        <f t="shared" si="1"/>
        <v>insert into trades(symbol,trade_date,shares,price,buysell,status,account,commission,date_sold,sell_price)values('RCL','2015-06-10',65,77.0599,'B','OPEN','BRK6107-4777',0.00,null,null);</v>
      </c>
    </row>
    <row r="22" spans="2:13">
      <c r="B22" t="s">
        <v>33</v>
      </c>
      <c r="C22" s="2" t="s">
        <v>25</v>
      </c>
      <c r="D22" s="13">
        <v>20</v>
      </c>
      <c r="E22">
        <v>242.12989999999999</v>
      </c>
      <c r="F22" t="s">
        <v>39</v>
      </c>
      <c r="G22" t="s">
        <v>12</v>
      </c>
      <c r="H22" t="str">
        <f t="shared" si="0"/>
        <v>BRK6107-4777</v>
      </c>
      <c r="I22">
        <v>0</v>
      </c>
      <c r="J22" s="3" t="s">
        <v>13</v>
      </c>
      <c r="K22" t="s">
        <v>13</v>
      </c>
      <c r="M22" t="str">
        <f t="shared" si="1"/>
        <v>insert into trades(symbol,trade_date,shares,price,buysell,status,account,commission,date_sold,sell_price)values('XBI','2015-06-10',20,242.1299,'B','OPEN','BRK6107-4777',0.00,null,null);</v>
      </c>
    </row>
    <row r="23" spans="2:13">
      <c r="B23" t="s">
        <v>34</v>
      </c>
      <c r="C23" s="2" t="s">
        <v>15</v>
      </c>
      <c r="D23" s="13">
        <v>80</v>
      </c>
      <c r="E23">
        <v>118.639</v>
      </c>
      <c r="F23" t="s">
        <v>39</v>
      </c>
      <c r="G23" t="s">
        <v>12</v>
      </c>
      <c r="H23" t="str">
        <f t="shared" si="0"/>
        <v>BRK6107-4777</v>
      </c>
      <c r="I23">
        <v>0</v>
      </c>
      <c r="J23" s="3" t="s">
        <v>13</v>
      </c>
      <c r="K23" t="s">
        <v>13</v>
      </c>
      <c r="M23" t="str">
        <f t="shared" si="1"/>
        <v>insert into trades(symbol,trade_date,shares,price,buysell,status,account,commission,date_sold,sell_price)values('IJR','2015-04-13',80,118.639,'B','OPEN','BRK6107-4777',0.00,null,null);</v>
      </c>
    </row>
    <row r="24" spans="2:13">
      <c r="B24" t="s">
        <v>35</v>
      </c>
      <c r="C24" s="2" t="s">
        <v>15</v>
      </c>
      <c r="D24" s="13">
        <v>295.726</v>
      </c>
      <c r="E24">
        <v>40.24</v>
      </c>
      <c r="F24" t="s">
        <v>39</v>
      </c>
      <c r="G24" t="s">
        <v>12</v>
      </c>
      <c r="H24" t="str">
        <f t="shared" si="0"/>
        <v>BRK6107-4777</v>
      </c>
      <c r="I24">
        <v>0</v>
      </c>
      <c r="J24" s="3" t="s">
        <v>13</v>
      </c>
      <c r="K24" t="s">
        <v>13</v>
      </c>
      <c r="M24" t="str">
        <f t="shared" si="1"/>
        <v>insert into trades(symbol,trade_date,shares,price,buysell,status,account,commission,date_sold,sell_price)values('MRFIX','2015-04-13',295.726,40.24,'B','OPEN','BRK6107-4777',0.00,null,null);</v>
      </c>
    </row>
    <row r="25" spans="2:13">
      <c r="B25" t="s">
        <v>36</v>
      </c>
      <c r="C25" s="2" t="s">
        <v>15</v>
      </c>
      <c r="D25" s="13">
        <v>530.726</v>
      </c>
      <c r="E25">
        <v>37.590000000000003</v>
      </c>
      <c r="F25" t="s">
        <v>39</v>
      </c>
      <c r="G25" t="s">
        <v>12</v>
      </c>
      <c r="H25" t="str">
        <f t="shared" si="0"/>
        <v>BRK6107-4777</v>
      </c>
      <c r="I25">
        <v>0</v>
      </c>
      <c r="J25" s="3" t="s">
        <v>13</v>
      </c>
      <c r="K25" t="s">
        <v>13</v>
      </c>
      <c r="M25" t="str">
        <f t="shared" si="1"/>
        <v>insert into trades(symbol,trade_date,shares,price,buysell,status,account,commission,date_sold,sell_price)values('OIGYX','2015-04-13',530.726,37.59,'B','OPEN','BRK6107-4777',0.00,null,null);</v>
      </c>
    </row>
    <row r="26" spans="2:13">
      <c r="B26" t="s">
        <v>37</v>
      </c>
      <c r="C26" s="2" t="s">
        <v>15</v>
      </c>
      <c r="D26" s="13">
        <v>85</v>
      </c>
      <c r="E26">
        <v>92.76</v>
      </c>
      <c r="F26" t="s">
        <v>39</v>
      </c>
      <c r="G26" t="s">
        <v>12</v>
      </c>
      <c r="H26" t="str">
        <f t="shared" si="0"/>
        <v>BRK6107-4777</v>
      </c>
      <c r="I26">
        <v>0</v>
      </c>
      <c r="J26" s="3" t="s">
        <v>13</v>
      </c>
      <c r="K26" t="s">
        <v>13</v>
      </c>
      <c r="M26" t="str">
        <f t="shared" si="1"/>
        <v>insert into trades(symbol,trade_date,shares,price,buysell,status,account,commission,date_sold,sell_price)values('RYT','2015-04-13',85,92.76,'B','OPEN','BRK6107-4777',0.00,null,null);</v>
      </c>
    </row>
    <row r="27" spans="2:13">
      <c r="I27" s="5"/>
      <c r="J27" s="3"/>
    </row>
    <row r="28" spans="2:13">
      <c r="D28" s="4"/>
      <c r="I28" s="5"/>
      <c r="J28" s="3"/>
    </row>
    <row r="29" spans="2:13">
      <c r="B29" t="str">
        <f>"SELECT * FROM WATCHLIST WHERE SYMBOL='"&amp;B7&amp;"'"</f>
        <v>SELECT * FROM WATCHLIST WHERE SYMBOL='DGAGX'</v>
      </c>
      <c r="I29" s="5"/>
      <c r="J29" s="3"/>
    </row>
    <row r="30" spans="2:13">
      <c r="B30" t="str">
        <f t="shared" ref="B30:B48" si="2">"SELECT * FROM WATCHLIST WHERE SYMBOL='"&amp;B8&amp;"'"</f>
        <v>SELECT * FROM WATCHLIST WHERE SYMBOL='GACIX'</v>
      </c>
      <c r="I30" s="5"/>
      <c r="J30" s="3"/>
    </row>
    <row r="31" spans="2:13">
      <c r="B31" t="str">
        <f t="shared" si="2"/>
        <v>SELECT * FROM WATCHLIST WHERE SYMBOL='HMCJX'</v>
      </c>
      <c r="I31" s="21"/>
      <c r="J31" s="3"/>
    </row>
    <row r="32" spans="2:13">
      <c r="B32" t="str">
        <f t="shared" si="2"/>
        <v>SELECT * FROM WATCHLIST WHERE SYMBOL='IJH'</v>
      </c>
      <c r="H32" s="20"/>
      <c r="I32" s="5"/>
      <c r="J32" s="3"/>
    </row>
    <row r="33" spans="2:10">
      <c r="B33" t="str">
        <f t="shared" si="2"/>
        <v>SELECT * FROM WATCHLIST WHERE SYMBOL='SPY'</v>
      </c>
      <c r="I33" s="21"/>
      <c r="J33" s="3"/>
    </row>
    <row r="34" spans="2:10">
      <c r="B34" t="str">
        <f t="shared" si="2"/>
        <v>SELECT * FROM WATCHLIST WHERE SYMBOL='VNQ'</v>
      </c>
      <c r="H34" s="20"/>
      <c r="I34" s="5"/>
      <c r="J34" s="3"/>
    </row>
    <row r="35" spans="2:10">
      <c r="B35" t="str">
        <f t="shared" si="2"/>
        <v>SELECT * FROM WATCHLIST WHERE SYMBOL='CSRSX'</v>
      </c>
      <c r="I35" s="5"/>
      <c r="J35" s="3"/>
    </row>
    <row r="36" spans="2:10">
      <c r="B36" t="str">
        <f t="shared" si="2"/>
        <v>SELECT * FROM WATCHLIST WHERE SYMBOL='IAU'</v>
      </c>
      <c r="I36" s="5"/>
      <c r="J36" s="3"/>
    </row>
    <row r="37" spans="2:10">
      <c r="B37" t="str">
        <f t="shared" si="2"/>
        <v>SELECT * FROM WATCHLIST WHERE SYMBOL='IXJ'</v>
      </c>
      <c r="I37" s="5"/>
      <c r="J37" s="3"/>
    </row>
    <row r="38" spans="2:10">
      <c r="B38" t="str">
        <f t="shared" si="2"/>
        <v>SELECT * FROM WATCHLIST WHERE SYMBOL='IAU'</v>
      </c>
      <c r="I38" s="5"/>
      <c r="J38" s="3"/>
    </row>
    <row r="39" spans="2:10">
      <c r="B39" t="str">
        <f t="shared" si="2"/>
        <v>SELECT * FROM WATCHLIST WHERE SYMBOL='IAU'</v>
      </c>
      <c r="I39" s="5"/>
      <c r="J39" s="3"/>
    </row>
    <row r="40" spans="2:10">
      <c r="B40" t="str">
        <f t="shared" si="2"/>
        <v>SELECT * FROM WATCHLIST WHERE SYMBOL='WMFFX'</v>
      </c>
      <c r="I40" s="5"/>
      <c r="J40" s="3"/>
    </row>
    <row r="41" spans="2:10">
      <c r="B41" t="str">
        <f t="shared" si="2"/>
        <v>SELECT * FROM WATCHLIST WHERE SYMBOL='TOLIX'</v>
      </c>
      <c r="I41" s="5"/>
      <c r="J41" s="3"/>
    </row>
    <row r="42" spans="2:10">
      <c r="B42" t="str">
        <f t="shared" si="2"/>
        <v>SELECT * FROM WATCHLIST WHERE SYMBOL='BIICX'</v>
      </c>
      <c r="I42" s="5"/>
      <c r="J42" s="3"/>
    </row>
    <row r="43" spans="2:10">
      <c r="B43" t="str">
        <f t="shared" si="2"/>
        <v>SELECT * FROM WATCHLIST WHERE SYMBOL='RCL'</v>
      </c>
      <c r="I43" s="5"/>
      <c r="J43" s="3"/>
    </row>
    <row r="44" spans="2:10">
      <c r="B44" t="str">
        <f t="shared" si="2"/>
        <v>SELECT * FROM WATCHLIST WHERE SYMBOL='XBI'</v>
      </c>
    </row>
    <row r="45" spans="2:10">
      <c r="B45" t="str">
        <f t="shared" si="2"/>
        <v>SELECT * FROM WATCHLIST WHERE SYMBOL='IJR'</v>
      </c>
    </row>
    <row r="46" spans="2:10">
      <c r="B46" t="str">
        <f t="shared" si="2"/>
        <v>SELECT * FROM WATCHLIST WHERE SYMBOL='MRFIX'</v>
      </c>
    </row>
    <row r="47" spans="2:10">
      <c r="B47" t="str">
        <f t="shared" si="2"/>
        <v>SELECT * FROM WATCHLIST WHERE SYMBOL='OIGYX'</v>
      </c>
    </row>
    <row r="48" spans="2:10">
      <c r="B48" t="str">
        <f t="shared" si="2"/>
        <v>SELECT * FROM WATCHLIST WHERE SYMBOL='RYT'</v>
      </c>
    </row>
    <row r="50" spans="2:22">
      <c r="B50" s="1" t="s">
        <v>10</v>
      </c>
      <c r="C50" s="2" t="s">
        <v>110</v>
      </c>
    </row>
    <row r="51" spans="2:22">
      <c r="B51" t="s">
        <v>75</v>
      </c>
      <c r="C51" s="19" t="s">
        <v>93</v>
      </c>
      <c r="D51" s="19" t="s">
        <v>94</v>
      </c>
      <c r="F51" t="s">
        <v>97</v>
      </c>
    </row>
    <row r="53" spans="2:22">
      <c r="B53" t="str">
        <f>"insert into accounts(account)values('"&amp;B51&amp;"')"</f>
        <v>insert into accounts(account)values('BRK20X57S71')</v>
      </c>
    </row>
    <row r="54" spans="2:22">
      <c r="B54" t="str">
        <f>"delete from accounts where account='"&amp;$B$51&amp;"'"</f>
        <v>delete from accounts where account='BRK20X57S71'</v>
      </c>
    </row>
    <row r="55" spans="2:22">
      <c r="B55" s="1" t="s">
        <v>64</v>
      </c>
      <c r="C55" s="18" t="s">
        <v>86</v>
      </c>
      <c r="D55" s="1" t="s">
        <v>71</v>
      </c>
      <c r="E55" s="1" t="s">
        <v>85</v>
      </c>
      <c r="F55" s="1" t="s">
        <v>84</v>
      </c>
      <c r="G55" s="1" t="s">
        <v>83</v>
      </c>
      <c r="H55" s="1" t="s">
        <v>10</v>
      </c>
      <c r="I55" s="1" t="s">
        <v>82</v>
      </c>
      <c r="J55" s="1" t="s">
        <v>81</v>
      </c>
      <c r="K55" s="1" t="s">
        <v>80</v>
      </c>
      <c r="L55" s="1" t="s">
        <v>79</v>
      </c>
      <c r="M55" s="1" t="s">
        <v>18</v>
      </c>
      <c r="N55" s="1" t="s">
        <v>69</v>
      </c>
      <c r="O55" s="1" t="s">
        <v>78</v>
      </c>
      <c r="P55" s="1" t="s">
        <v>40</v>
      </c>
      <c r="Q55" s="1" t="s">
        <v>92</v>
      </c>
      <c r="R55" s="1" t="s">
        <v>87</v>
      </c>
      <c r="S55" s="1" t="s">
        <v>88</v>
      </c>
      <c r="T55" s="1" t="s">
        <v>89</v>
      </c>
      <c r="U55" s="1" t="s">
        <v>91</v>
      </c>
      <c r="V55" t="str">
        <f>"delete from trades where account='"&amp;B51&amp;"'"</f>
        <v>delete from trades where account='BRK20X57S71'</v>
      </c>
    </row>
    <row r="56" spans="2:22">
      <c r="B56" t="s">
        <v>76</v>
      </c>
      <c r="C56" s="2">
        <v>42928</v>
      </c>
      <c r="D56" s="13">
        <v>113</v>
      </c>
      <c r="E56" s="14">
        <v>88.25</v>
      </c>
      <c r="F56" t="s">
        <v>39</v>
      </c>
      <c r="G56" t="s">
        <v>12</v>
      </c>
      <c r="H56" t="str">
        <f t="shared" ref="H56:H66" si="3">$B$51</f>
        <v>BRK20X57S71</v>
      </c>
      <c r="I56">
        <v>0</v>
      </c>
      <c r="J56" s="3" t="s">
        <v>13</v>
      </c>
      <c r="K56">
        <v>0</v>
      </c>
      <c r="L56" s="14">
        <v>83.3</v>
      </c>
      <c r="M56" s="14">
        <f>IF(K56=0,E56*D56,0)</f>
        <v>9972.25</v>
      </c>
      <c r="N56" s="17">
        <f t="shared" ref="N56:N66" si="4">M56/$M$68</f>
        <v>0.38255020941528672</v>
      </c>
      <c r="O56" s="14">
        <f>IF(0=K56,L56*D56,0)</f>
        <v>9412.9</v>
      </c>
      <c r="P56" s="14">
        <f>IF(0=K56,O56-M56,(K56*D56)-(E56*D56))</f>
        <v>-559.35000000000036</v>
      </c>
      <c r="Q56" s="17">
        <f>IF(0=K56,(O56-M56)/O56,P56/(E56*D56))</f>
        <v>-5.9423769507803162E-2</v>
      </c>
      <c r="R56" s="2">
        <v>43001</v>
      </c>
      <c r="S56" s="14">
        <v>0.46</v>
      </c>
      <c r="T56" s="14">
        <f>D56*S56</f>
        <v>51.980000000000004</v>
      </c>
      <c r="U56" s="16">
        <f t="shared" ref="U56:U57" ca="1" si="5">ABS(TODAY()-C56)</f>
        <v>876</v>
      </c>
      <c r="V56" t="str">
        <f t="shared" ref="V56:V61" si="6">"insert into trades("&amp;$B$6&amp;","&amp;$C$6&amp;","&amp;$D$6&amp;","&amp;$E$6&amp;","&amp;$F$6&amp;","&amp;$G$6&amp;","&amp;$H$6&amp;","&amp;$I$6&amp;","&amp;$J$6&amp;","&amp;$K$6&amp;")values('"&amp;B56&amp;"','"&amp;C56&amp;"',"&amp;D56&amp;","&amp;E56&amp;",'"&amp;F56&amp;"','"&amp;G56&amp;"','"&amp;H56&amp;"',0.00,"&amp;IF(J56="null","null","'"&amp;J56&amp;"'")&amp;","&amp;IF(K56="null","null",K56)&amp;");"</f>
        <v>insert into trades(symbol,trade_date,shares,price,buysell,status,account,commission,date_sold,sell_price)values('VDE','42928',113,88.25,'B','OPEN','BRK20X57S71',0.00,null,0);</v>
      </c>
    </row>
    <row r="57" spans="2:22">
      <c r="B57" s="26" t="s">
        <v>77</v>
      </c>
      <c r="C57" s="27">
        <v>42928</v>
      </c>
      <c r="D57" s="28">
        <v>184</v>
      </c>
      <c r="E57" s="29">
        <v>54.3</v>
      </c>
      <c r="F57" s="26" t="s">
        <v>39</v>
      </c>
      <c r="G57" s="26" t="s">
        <v>12</v>
      </c>
      <c r="H57" s="26" t="str">
        <f t="shared" si="3"/>
        <v>BRK20X57S71</v>
      </c>
      <c r="I57" s="26">
        <v>0</v>
      </c>
      <c r="J57" s="27">
        <v>43804</v>
      </c>
      <c r="K57" s="26">
        <v>62.45</v>
      </c>
      <c r="L57" s="29">
        <v>62.45</v>
      </c>
      <c r="M57" s="29">
        <f>IF(K57=0,E57*D57,0)</f>
        <v>0</v>
      </c>
      <c r="N57" s="30">
        <f t="shared" si="4"/>
        <v>0</v>
      </c>
      <c r="O57" s="29">
        <f>IF(0=K57,L57*D57,0)</f>
        <v>0</v>
      </c>
      <c r="P57" s="29">
        <f>IF(0=K57,O57-M57,(K57*D57)-(E57*D57))</f>
        <v>1499.6000000000022</v>
      </c>
      <c r="Q57" s="30">
        <f>IF(0=K57,(O57-M57)/O57,P57/(E57*D57))</f>
        <v>0.15009208103130778</v>
      </c>
      <c r="R57" s="2">
        <v>42994</v>
      </c>
      <c r="S57" s="14">
        <v>0.44</v>
      </c>
      <c r="T57" s="14">
        <f>D57*S57</f>
        <v>80.959999999999994</v>
      </c>
      <c r="U57" s="16">
        <f t="shared" ca="1" si="5"/>
        <v>876</v>
      </c>
      <c r="V57" t="str">
        <f t="shared" si="6"/>
        <v>insert into trades(symbol,trade_date,shares,price,buysell,status,account,commission,date_sold,sell_price)values('XLP','42928',184,54.3,'B','OPEN','BRK20X57S71',0.00,'43804',62.45);</v>
      </c>
    </row>
    <row r="58" spans="2:22">
      <c r="B58" s="26" t="s">
        <v>77</v>
      </c>
      <c r="C58" s="27">
        <v>43136</v>
      </c>
      <c r="D58" s="28">
        <v>100</v>
      </c>
      <c r="E58" s="29">
        <v>53.5</v>
      </c>
      <c r="F58" s="26" t="s">
        <v>39</v>
      </c>
      <c r="G58" s="26" t="s">
        <v>12</v>
      </c>
      <c r="H58" s="26" t="str">
        <f t="shared" si="3"/>
        <v>BRK20X57S71</v>
      </c>
      <c r="I58" s="26">
        <v>0</v>
      </c>
      <c r="J58" s="27">
        <v>43804</v>
      </c>
      <c r="K58" s="26">
        <v>62.45</v>
      </c>
      <c r="L58" s="29">
        <v>62.45</v>
      </c>
      <c r="M58" s="29">
        <f t="shared" ref="M58:M64" si="7">IF(K58=0,E58*D58,0)</f>
        <v>0</v>
      </c>
      <c r="N58" s="30">
        <f t="shared" si="4"/>
        <v>0</v>
      </c>
      <c r="O58" s="29">
        <f t="shared" ref="O58:O64" si="8">IF(0=K58,L58*D58,0)</f>
        <v>0</v>
      </c>
      <c r="P58" s="29">
        <f t="shared" ref="P58:P65" si="9">IF(0=K58,O58-M58,(K58*D58)-(E58*D58))</f>
        <v>895</v>
      </c>
      <c r="Q58" s="30">
        <f t="shared" ref="Q58:Q64" si="10">IF(0=K58,(O58-M58)/O58,P58/(E58*D58))</f>
        <v>0.16728971962616823</v>
      </c>
      <c r="R58" s="2">
        <v>42994</v>
      </c>
      <c r="S58" s="14">
        <v>0.44</v>
      </c>
      <c r="T58" s="14">
        <f>D58*S58</f>
        <v>44</v>
      </c>
      <c r="U58" s="16">
        <f ca="1">ABS(TODAY()-C58)</f>
        <v>668</v>
      </c>
      <c r="V58" t="str">
        <f t="shared" si="6"/>
        <v>insert into trades(symbol,trade_date,shares,price,buysell,status,account,commission,date_sold,sell_price)values('XLP','43136',100,53.5,'B','OPEN','BRK20X57S71',0.00,'43804',62.45);</v>
      </c>
    </row>
    <row r="59" spans="2:22">
      <c r="B59" t="s">
        <v>95</v>
      </c>
      <c r="C59" s="2">
        <v>43174</v>
      </c>
      <c r="D59" s="13">
        <v>138</v>
      </c>
      <c r="E59" s="14">
        <v>36.35</v>
      </c>
      <c r="F59" t="s">
        <v>39</v>
      </c>
      <c r="G59" t="s">
        <v>12</v>
      </c>
      <c r="H59" t="str">
        <f t="shared" si="3"/>
        <v>BRK20X57S71</v>
      </c>
      <c r="I59">
        <v>0</v>
      </c>
      <c r="J59" t="s">
        <v>13</v>
      </c>
      <c r="K59">
        <v>0</v>
      </c>
      <c r="L59" s="14">
        <v>28</v>
      </c>
      <c r="M59" s="14">
        <f t="shared" si="7"/>
        <v>5016.3</v>
      </c>
      <c r="N59" s="17">
        <f t="shared" si="4"/>
        <v>0.192432662186558</v>
      </c>
      <c r="O59" s="14">
        <f t="shared" si="8"/>
        <v>3864</v>
      </c>
      <c r="P59" s="14">
        <f t="shared" si="9"/>
        <v>-1152.3000000000002</v>
      </c>
      <c r="Q59" s="17">
        <f t="shared" si="10"/>
        <v>-0.29821428571428577</v>
      </c>
      <c r="R59" s="2"/>
      <c r="S59" s="14">
        <v>0.44</v>
      </c>
      <c r="T59" s="14">
        <f>D59*S59</f>
        <v>60.72</v>
      </c>
      <c r="U59" s="16">
        <f ca="1">ABS(TODAY()-C59)</f>
        <v>630</v>
      </c>
      <c r="V59" t="str">
        <f t="shared" si="6"/>
        <v>insert into trades(symbol,trade_date,shares,price,buysell,status,account,commission,date_sold,sell_price)values('HA','43174',138,36.35,'B','OPEN','BRK20X57S71',0.00,null,0);</v>
      </c>
    </row>
    <row r="60" spans="2:22">
      <c r="B60" t="s">
        <v>95</v>
      </c>
      <c r="C60" s="2">
        <v>43383</v>
      </c>
      <c r="D60" s="13">
        <v>75</v>
      </c>
      <c r="E60" s="14">
        <v>31.51</v>
      </c>
      <c r="F60" t="s">
        <v>39</v>
      </c>
      <c r="G60" t="s">
        <v>12</v>
      </c>
      <c r="H60" t="str">
        <f t="shared" si="3"/>
        <v>BRK20X57S71</v>
      </c>
      <c r="I60">
        <v>0</v>
      </c>
      <c r="J60" t="s">
        <v>13</v>
      </c>
      <c r="K60">
        <v>0</v>
      </c>
      <c r="L60" s="14">
        <v>28</v>
      </c>
      <c r="M60" s="14">
        <f t="shared" si="7"/>
        <v>2363.25</v>
      </c>
      <c r="N60" s="17">
        <f t="shared" si="4"/>
        <v>9.065775350604692E-2</v>
      </c>
      <c r="O60" s="14">
        <f t="shared" si="8"/>
        <v>2100</v>
      </c>
      <c r="P60" s="14">
        <f t="shared" si="9"/>
        <v>-263.25</v>
      </c>
      <c r="Q60" s="17">
        <f t="shared" si="10"/>
        <v>-0.12535714285714286</v>
      </c>
      <c r="U60" s="16">
        <f t="shared" ref="U60" ca="1" si="11">ABS(TODAY()-C60)</f>
        <v>421</v>
      </c>
      <c r="V60" t="str">
        <f t="shared" si="6"/>
        <v>insert into trades(symbol,trade_date,shares,price,buysell,status,account,commission,date_sold,sell_price)values('HA','43383',75,31.51,'B','OPEN','BRK20X57S71',0.00,null,0);</v>
      </c>
    </row>
    <row r="61" spans="2:22">
      <c r="B61" s="26" t="s">
        <v>22</v>
      </c>
      <c r="C61" s="27">
        <v>43385</v>
      </c>
      <c r="D61" s="28">
        <v>20</v>
      </c>
      <c r="E61" s="29">
        <v>271.35000000000002</v>
      </c>
      <c r="F61" s="26" t="s">
        <v>39</v>
      </c>
      <c r="G61" s="26" t="s">
        <v>21</v>
      </c>
      <c r="H61" s="26" t="str">
        <f t="shared" si="3"/>
        <v>BRK20X57S71</v>
      </c>
      <c r="I61" s="26">
        <v>0</v>
      </c>
      <c r="J61" s="27">
        <v>43767</v>
      </c>
      <c r="K61" s="26">
        <v>302.8</v>
      </c>
      <c r="L61" s="29">
        <v>302.8</v>
      </c>
      <c r="M61" s="29">
        <f t="shared" si="7"/>
        <v>0</v>
      </c>
      <c r="N61" s="30">
        <f t="shared" si="4"/>
        <v>0</v>
      </c>
      <c r="O61" s="29">
        <f t="shared" si="8"/>
        <v>0</v>
      </c>
      <c r="P61" s="29">
        <f t="shared" si="9"/>
        <v>629</v>
      </c>
      <c r="Q61" s="30">
        <f t="shared" si="10"/>
        <v>0.11590197162336466</v>
      </c>
      <c r="U61" s="16">
        <f t="shared" ref="U61" ca="1" si="12">ABS(TODAY()-C61)</f>
        <v>419</v>
      </c>
      <c r="V61" t="str">
        <f t="shared" si="6"/>
        <v>insert into trades(symbol,trade_date,shares,price,buysell,status,account,commission,date_sold,sell_price)values('SPY','43385',20,271.35,'B','CLOSED','BRK20X57S71',0.00,'43767',302.8);</v>
      </c>
    </row>
    <row r="62" spans="2:22">
      <c r="B62" s="26" t="s">
        <v>22</v>
      </c>
      <c r="C62" s="27">
        <v>43397</v>
      </c>
      <c r="D62" s="28">
        <v>20</v>
      </c>
      <c r="E62" s="29">
        <v>268.35000000000002</v>
      </c>
      <c r="F62" s="26" t="s">
        <v>39</v>
      </c>
      <c r="G62" s="26" t="s">
        <v>21</v>
      </c>
      <c r="H62" s="26" t="str">
        <f t="shared" si="3"/>
        <v>BRK20X57S71</v>
      </c>
      <c r="I62" s="26">
        <v>0</v>
      </c>
      <c r="J62" s="27">
        <v>43767</v>
      </c>
      <c r="K62" s="26">
        <v>302.8</v>
      </c>
      <c r="L62" s="29">
        <v>302.8</v>
      </c>
      <c r="M62" s="29">
        <f t="shared" si="7"/>
        <v>0</v>
      </c>
      <c r="N62" s="30">
        <f t="shared" si="4"/>
        <v>0</v>
      </c>
      <c r="O62" s="29">
        <f t="shared" si="8"/>
        <v>0</v>
      </c>
      <c r="P62" s="29">
        <f t="shared" si="9"/>
        <v>689</v>
      </c>
      <c r="Q62" s="30">
        <f t="shared" si="10"/>
        <v>0.12837711943357555</v>
      </c>
      <c r="U62" s="16">
        <f t="shared" ref="U62:U63" ca="1" si="13">ABS(TODAY()-C62)</f>
        <v>407</v>
      </c>
      <c r="V62" t="str">
        <f t="shared" ref="V62" si="14">"insert into trades("&amp;$B$6&amp;","&amp;$C$6&amp;","&amp;$D$6&amp;","&amp;$E$6&amp;","&amp;$F$6&amp;","&amp;$G$6&amp;","&amp;$H$6&amp;","&amp;$I$6&amp;","&amp;$J$6&amp;","&amp;$K$6&amp;")values('"&amp;B62&amp;"','"&amp;C62&amp;"',"&amp;D62&amp;","&amp;E62&amp;",'"&amp;F62&amp;"','"&amp;G62&amp;"','"&amp;H62&amp;"',0.00,"&amp;IF(J62="null","null","'"&amp;J62&amp;"'")&amp;","&amp;IF(K62="null","null",K62)&amp;");"</f>
        <v>insert into trades(symbol,trade_date,shares,price,buysell,status,account,commission,date_sold,sell_price)values('SPY','43397',20,268.35,'B','CLOSED','BRK20X57S71',0.00,'43767',302.8);</v>
      </c>
    </row>
    <row r="63" spans="2:22">
      <c r="B63" s="26" t="s">
        <v>22</v>
      </c>
      <c r="C63" s="27">
        <v>43454</v>
      </c>
      <c r="D63" s="28">
        <v>20</v>
      </c>
      <c r="E63" s="29">
        <v>248.7</v>
      </c>
      <c r="F63" s="26" t="s">
        <v>39</v>
      </c>
      <c r="G63" s="26" t="s">
        <v>21</v>
      </c>
      <c r="H63" s="26" t="str">
        <f t="shared" si="3"/>
        <v>BRK20X57S71</v>
      </c>
      <c r="I63" s="26">
        <v>0</v>
      </c>
      <c r="J63" s="27">
        <v>43767</v>
      </c>
      <c r="K63" s="26">
        <v>302.8</v>
      </c>
      <c r="L63" s="29">
        <v>302.8</v>
      </c>
      <c r="M63" s="29">
        <f t="shared" ref="M63" si="15">IF(K63=0,E63*D63,0)</f>
        <v>0</v>
      </c>
      <c r="N63" s="30">
        <f t="shared" si="4"/>
        <v>0</v>
      </c>
      <c r="O63" s="29">
        <f t="shared" ref="O63" si="16">IF(0=K63,L63*D63,0)</f>
        <v>0</v>
      </c>
      <c r="P63" s="29">
        <f t="shared" ref="P63" si="17">IF(0=K63,O63-M63,(K63*D63)-(E63*D63))</f>
        <v>1082</v>
      </c>
      <c r="Q63" s="30">
        <f t="shared" ref="Q63" si="18">IF(0=K63,(O63-M63)/O63,P63/(E63*D63))</f>
        <v>0.21753116204262163</v>
      </c>
      <c r="U63" s="16">
        <f t="shared" ca="1" si="13"/>
        <v>350</v>
      </c>
    </row>
    <row r="64" spans="2:22">
      <c r="B64" t="s">
        <v>100</v>
      </c>
      <c r="C64" s="2">
        <v>43515</v>
      </c>
      <c r="D64" s="13">
        <v>20</v>
      </c>
      <c r="E64" s="14">
        <v>132.98400000000001</v>
      </c>
      <c r="F64" t="s">
        <v>39</v>
      </c>
      <c r="G64" t="s">
        <v>12</v>
      </c>
      <c r="H64" t="str">
        <f t="shared" si="3"/>
        <v>BRK20X57S71</v>
      </c>
      <c r="I64">
        <v>0</v>
      </c>
      <c r="J64" t="s">
        <v>13</v>
      </c>
      <c r="K64">
        <v>0</v>
      </c>
      <c r="L64" s="14">
        <v>105.29</v>
      </c>
      <c r="M64" s="14">
        <f t="shared" si="7"/>
        <v>2659.6800000000003</v>
      </c>
      <c r="N64" s="17">
        <f t="shared" si="4"/>
        <v>0.10202924525334302</v>
      </c>
      <c r="O64" s="14">
        <f t="shared" si="8"/>
        <v>2105.8000000000002</v>
      </c>
      <c r="P64" s="14">
        <f t="shared" si="9"/>
        <v>-553.88000000000011</v>
      </c>
      <c r="Q64" s="17">
        <f t="shared" si="10"/>
        <v>-0.263025928388261</v>
      </c>
      <c r="U64" s="16">
        <f t="shared" ref="U64" ca="1" si="19">ABS(TODAY()-C64)</f>
        <v>289</v>
      </c>
      <c r="V64" t="str">
        <f t="shared" ref="V64" si="20">"insert into trades("&amp;$B$6&amp;","&amp;$C$6&amp;","&amp;$D$6&amp;","&amp;$E$6&amp;","&amp;$F$6&amp;","&amp;$G$6&amp;","&amp;$H$6&amp;","&amp;$I$6&amp;","&amp;$J$6&amp;","&amp;$K$6&amp;")values('"&amp;B64&amp;"','"&amp;C64&amp;"',"&amp;D64&amp;","&amp;E64&amp;",'"&amp;F64&amp;"','"&amp;G64&amp;"','"&amp;H64&amp;"',0.00,"&amp;IF(J64="null","null","'"&amp;J64&amp;"'")&amp;","&amp;IF(K64="null","null",K64)&amp;");"</f>
        <v>insert into trades(symbol,trade_date,shares,price,buysell,status,account,commission,date_sold,sell_price)values('MED','43515',20,132.984,'B','OPEN','BRK20X57S71',0.00,null,0);</v>
      </c>
    </row>
    <row r="65" spans="2:22">
      <c r="B65" t="s">
        <v>32</v>
      </c>
      <c r="C65" s="2">
        <v>43685</v>
      </c>
      <c r="D65" s="13">
        <v>24</v>
      </c>
      <c r="E65" s="14">
        <v>107.86</v>
      </c>
      <c r="F65" t="s">
        <v>39</v>
      </c>
      <c r="G65" t="s">
        <v>12</v>
      </c>
      <c r="H65" t="str">
        <f t="shared" si="3"/>
        <v>BRK20X57S71</v>
      </c>
      <c r="I65">
        <v>0</v>
      </c>
      <c r="J65" t="s">
        <v>13</v>
      </c>
      <c r="K65">
        <v>0</v>
      </c>
      <c r="L65" s="14">
        <v>112.87</v>
      </c>
      <c r="M65" s="14">
        <f t="shared" ref="M65" si="21">IF(K65=0,E65*D65,0)</f>
        <v>2588.64</v>
      </c>
      <c r="N65" s="17">
        <f t="shared" si="4"/>
        <v>9.9304046138112043E-2</v>
      </c>
      <c r="O65" s="14">
        <f t="shared" ref="O65" si="22">IF(0=K65,L65*D65,0)</f>
        <v>2708.88</v>
      </c>
      <c r="P65" s="14">
        <f t="shared" si="9"/>
        <v>120.24000000000024</v>
      </c>
      <c r="Q65" s="17">
        <f t="shared" ref="Q65" si="23">IF(0=K65,(O65-M65)/O65,P65/(E65*D65))</f>
        <v>4.4387348276778683E-2</v>
      </c>
      <c r="U65" s="16">
        <f t="shared" ref="U65" ca="1" si="24">ABS(TODAY()-C65)</f>
        <v>119</v>
      </c>
      <c r="V65" t="str">
        <f t="shared" ref="V65" si="25">"insert into trades("&amp;$B$6&amp;","&amp;$C$6&amp;","&amp;$D$6&amp;","&amp;$E$6&amp;","&amp;$F$6&amp;","&amp;$G$6&amp;","&amp;$H$6&amp;","&amp;$I$6&amp;","&amp;$J$6&amp;","&amp;$K$6&amp;")values('"&amp;B65&amp;"','"&amp;C65&amp;"',"&amp;D65&amp;","&amp;E65&amp;",'"&amp;F65&amp;"','"&amp;G65&amp;"','"&amp;H65&amp;"',0.00,"&amp;IF(J65="null","null","'"&amp;J65&amp;"'")&amp;","&amp;IF(K65="null","null",K65)&amp;");"</f>
        <v>insert into trades(symbol,trade_date,shares,price,buysell,status,account,commission,date_sold,sell_price)values('RCL','43685',24,107.86,'B','OPEN','BRK20X57S71',0.00,null,0);</v>
      </c>
    </row>
    <row r="66" spans="2:22">
      <c r="B66" t="s">
        <v>76</v>
      </c>
      <c r="C66" s="2">
        <v>43685</v>
      </c>
      <c r="D66" s="13">
        <v>45</v>
      </c>
      <c r="E66" s="14">
        <v>77.06</v>
      </c>
      <c r="F66" t="s">
        <v>39</v>
      </c>
      <c r="G66" t="s">
        <v>12</v>
      </c>
      <c r="H66" t="str">
        <f t="shared" si="3"/>
        <v>BRK20X57S71</v>
      </c>
      <c r="I66">
        <v>0</v>
      </c>
      <c r="J66" t="s">
        <v>13</v>
      </c>
      <c r="K66">
        <v>0</v>
      </c>
      <c r="L66" s="14">
        <v>83.3</v>
      </c>
      <c r="M66" s="14">
        <f t="shared" ref="M66" si="26">IF(K66=0,E66*D66,0)</f>
        <v>3467.7000000000003</v>
      </c>
      <c r="N66" s="17">
        <f t="shared" si="4"/>
        <v>0.13302608350065331</v>
      </c>
      <c r="O66" s="14">
        <f t="shared" ref="O66" si="27">IF(0=K66,L66*D66,0)</f>
        <v>3748.5</v>
      </c>
      <c r="P66" s="14">
        <f t="shared" ref="P66" si="28">IF(0=K66,O66-M66,(K66*D66)-(E66*D66))</f>
        <v>280.79999999999973</v>
      </c>
      <c r="Q66" s="17">
        <f t="shared" ref="Q66" si="29">IF(0=K66,(O66-M66)/O66,P66/(E66*D66))</f>
        <v>7.4909963985594172E-2</v>
      </c>
      <c r="U66" s="16">
        <f ca="1">ABS(TODAY()-C66)</f>
        <v>119</v>
      </c>
      <c r="V66" t="str">
        <f t="shared" ref="V66" si="30">"insert into trades("&amp;$B$6&amp;","&amp;$C$6&amp;","&amp;$D$6&amp;","&amp;$E$6&amp;","&amp;$F$6&amp;","&amp;$G$6&amp;","&amp;$H$6&amp;","&amp;$I$6&amp;","&amp;$J$6&amp;","&amp;$K$6&amp;")values('"&amp;B66&amp;"','"&amp;C66&amp;"',"&amp;D66&amp;","&amp;E66&amp;",'"&amp;F66&amp;"','"&amp;G66&amp;"','"&amp;H66&amp;"',0.00,"&amp;IF(J66="null","null","'"&amp;J66&amp;"'")&amp;","&amp;IF(K66="null","null",K66)&amp;");"</f>
        <v>insert into trades(symbol,trade_date,shares,price,buysell,status,account,commission,date_sold,sell_price)values('VDE','43685',45,77.06,'B','OPEN','BRK20X57S71',0.00,null,0);</v>
      </c>
    </row>
    <row r="67" spans="2:22">
      <c r="C67" s="14"/>
      <c r="P67" s="7"/>
    </row>
    <row r="68" spans="2:22">
      <c r="L68" s="1" t="s">
        <v>98</v>
      </c>
      <c r="M68" s="14">
        <f>SUM(M56:M67)</f>
        <v>26067.82</v>
      </c>
      <c r="N68" s="22">
        <f>SUM(N56:N67)</f>
        <v>1</v>
      </c>
      <c r="O68" s="15">
        <f>SUM(O56:O67)</f>
        <v>23940.080000000002</v>
      </c>
      <c r="P68" s="14">
        <f>SUM(P56:P67)</f>
        <v>2666.8600000000015</v>
      </c>
      <c r="Q68" s="7">
        <f>P68/M68</f>
        <v>0.10230468063689259</v>
      </c>
      <c r="U68" s="16">
        <f ca="1">ABS(TODAY()-C64)</f>
        <v>289</v>
      </c>
    </row>
    <row r="71" spans="2:22">
      <c r="C71" s="4"/>
    </row>
    <row r="72" spans="2:22">
      <c r="C72" s="14"/>
      <c r="H72" s="1" t="s">
        <v>96</v>
      </c>
      <c r="L72" s="1"/>
      <c r="P72" s="7"/>
    </row>
    <row r="73" spans="2:22">
      <c r="C73" s="25"/>
      <c r="D73" s="15"/>
      <c r="G73" s="2">
        <v>43003</v>
      </c>
      <c r="H73" t="s">
        <v>77</v>
      </c>
      <c r="I73" s="14">
        <v>63.67</v>
      </c>
      <c r="L73" s="1" t="s">
        <v>53</v>
      </c>
      <c r="M73" s="1"/>
      <c r="P73" s="7"/>
    </row>
    <row r="74" spans="2:22">
      <c r="C74" s="14"/>
      <c r="G74" s="2">
        <v>43010</v>
      </c>
      <c r="H74" t="s">
        <v>76</v>
      </c>
      <c r="I74" s="14">
        <v>124.07</v>
      </c>
      <c r="L74" s="15">
        <f>P68</f>
        <v>2666.8600000000015</v>
      </c>
      <c r="M74" s="7"/>
      <c r="N74" s="1"/>
      <c r="Q74" s="1"/>
    </row>
    <row r="75" spans="2:22">
      <c r="C75" s="14"/>
      <c r="G75" s="2">
        <v>43088</v>
      </c>
      <c r="H75" t="s">
        <v>76</v>
      </c>
      <c r="I75" s="14">
        <v>67.77</v>
      </c>
      <c r="N75" s="15"/>
      <c r="Q75" s="15"/>
    </row>
    <row r="76" spans="2:22">
      <c r="C76" s="14"/>
      <c r="G76" s="2">
        <v>43095</v>
      </c>
      <c r="H76" t="s">
        <v>77</v>
      </c>
      <c r="I76" s="14">
        <v>76.86</v>
      </c>
      <c r="L76" s="1" t="s">
        <v>111</v>
      </c>
      <c r="M76" s="1" t="s">
        <v>90</v>
      </c>
    </row>
    <row r="77" spans="2:22">
      <c r="C77" s="14"/>
      <c r="G77" s="2">
        <v>43180</v>
      </c>
      <c r="H77" t="s">
        <v>76</v>
      </c>
      <c r="I77" s="14">
        <v>66.91</v>
      </c>
      <c r="L77" s="15">
        <f>L74+M77</f>
        <v>4506.1800000000021</v>
      </c>
      <c r="M77" s="15">
        <f>I103</f>
        <v>1839.3200000000002</v>
      </c>
      <c r="N77" s="7">
        <f>L77/M68</f>
        <v>0.17286370705337087</v>
      </c>
    </row>
    <row r="78" spans="2:22">
      <c r="C78" s="14"/>
      <c r="G78" s="2">
        <v>43180</v>
      </c>
      <c r="H78" t="s">
        <v>77</v>
      </c>
      <c r="I78" s="14">
        <v>84.79</v>
      </c>
      <c r="N78" s="1"/>
    </row>
    <row r="79" spans="2:22">
      <c r="C79" s="14"/>
      <c r="G79" s="2">
        <v>43245</v>
      </c>
      <c r="H79" t="s">
        <v>95</v>
      </c>
      <c r="I79" s="14">
        <v>16.559999999999999</v>
      </c>
      <c r="L79" s="23" t="s">
        <v>101</v>
      </c>
      <c r="M79" s="15">
        <v>62846.9</v>
      </c>
      <c r="N79" s="15"/>
    </row>
    <row r="80" spans="2:22">
      <c r="C80" s="14"/>
      <c r="G80" s="2">
        <v>43271</v>
      </c>
      <c r="H80" t="s">
        <v>77</v>
      </c>
      <c r="I80" s="14">
        <v>111.84</v>
      </c>
      <c r="L80" s="24" t="s">
        <v>102</v>
      </c>
      <c r="M80" s="15">
        <f>M79+M68</f>
        <v>88914.72</v>
      </c>
    </row>
    <row r="81" spans="3:17">
      <c r="C81" s="14"/>
      <c r="G81" s="2">
        <v>43284</v>
      </c>
      <c r="H81" t="s">
        <v>76</v>
      </c>
      <c r="I81" s="14">
        <v>72.98</v>
      </c>
    </row>
    <row r="82" spans="3:17">
      <c r="C82" s="14"/>
      <c r="G82" s="2">
        <v>43343</v>
      </c>
      <c r="H82" t="s">
        <v>95</v>
      </c>
      <c r="I82" s="14">
        <v>16.559999999999999</v>
      </c>
    </row>
    <row r="83" spans="3:17">
      <c r="C83" s="14"/>
      <c r="G83" s="2">
        <v>43369</v>
      </c>
      <c r="H83" t="s">
        <v>77</v>
      </c>
      <c r="I83" s="14">
        <v>110.33</v>
      </c>
    </row>
    <row r="84" spans="3:17">
      <c r="G84" s="2">
        <v>43370</v>
      </c>
      <c r="H84" t="s">
        <v>76</v>
      </c>
      <c r="I84" s="14">
        <v>76.42</v>
      </c>
      <c r="L84" s="1"/>
      <c r="M84" s="1"/>
      <c r="N84" s="1"/>
      <c r="O84" s="1"/>
      <c r="P84" s="1"/>
      <c r="Q84" s="1"/>
    </row>
    <row r="85" spans="3:17">
      <c r="G85" s="2">
        <v>43434</v>
      </c>
      <c r="H85" t="s">
        <v>95</v>
      </c>
      <c r="I85" s="14">
        <v>25.56</v>
      </c>
      <c r="L85" s="2"/>
      <c r="O85" s="4"/>
      <c r="P85" s="14"/>
      <c r="Q85" s="7"/>
    </row>
    <row r="86" spans="3:17">
      <c r="G86" s="2">
        <v>43452</v>
      </c>
      <c r="H86" t="s">
        <v>76</v>
      </c>
      <c r="I86" s="14">
        <v>75.599999999999994</v>
      </c>
      <c r="L86" s="18" t="s">
        <v>108</v>
      </c>
      <c r="M86" s="15">
        <f>M68</f>
        <v>26067.82</v>
      </c>
      <c r="O86" s="4"/>
      <c r="P86" s="14"/>
      <c r="Q86" s="7"/>
    </row>
    <row r="87" spans="3:17">
      <c r="G87" s="2">
        <v>43461</v>
      </c>
      <c r="H87" t="s">
        <v>77</v>
      </c>
      <c r="I87" s="14">
        <v>131.77000000000001</v>
      </c>
      <c r="L87" s="18" t="s">
        <v>109</v>
      </c>
      <c r="M87" s="15">
        <f>M79</f>
        <v>62846.9</v>
      </c>
      <c r="O87" s="4"/>
      <c r="P87" s="14"/>
      <c r="Q87" s="17"/>
    </row>
    <row r="88" spans="3:17">
      <c r="G88" s="2">
        <v>43496</v>
      </c>
      <c r="H88" t="s">
        <v>22</v>
      </c>
      <c r="I88" s="14">
        <v>86.13</v>
      </c>
      <c r="L88" s="24"/>
      <c r="M88" s="15"/>
    </row>
    <row r="89" spans="3:17">
      <c r="G89" s="2">
        <v>43518</v>
      </c>
      <c r="H89" t="s">
        <v>95</v>
      </c>
      <c r="I89" s="14">
        <v>25.56</v>
      </c>
      <c r="L89" s="2"/>
      <c r="O89" s="4"/>
      <c r="P89" s="14"/>
      <c r="Q89" s="7"/>
    </row>
    <row r="90" spans="3:17">
      <c r="C90" s="15"/>
      <c r="G90" s="2">
        <v>43544</v>
      </c>
      <c r="H90" t="s">
        <v>77</v>
      </c>
      <c r="I90" s="14">
        <v>84.53</v>
      </c>
    </row>
    <row r="91" spans="3:17">
      <c r="G91" s="2">
        <v>43550</v>
      </c>
      <c r="H91" t="s">
        <v>76</v>
      </c>
      <c r="I91" s="14">
        <v>75.400000000000006</v>
      </c>
    </row>
    <row r="92" spans="3:17">
      <c r="G92" s="2">
        <v>43585</v>
      </c>
      <c r="H92" t="s">
        <v>22</v>
      </c>
      <c r="I92" s="14">
        <v>73.989999999999995</v>
      </c>
    </row>
    <row r="93" spans="3:17">
      <c r="G93" s="2">
        <v>43592</v>
      </c>
      <c r="H93" t="s">
        <v>100</v>
      </c>
      <c r="I93" s="14">
        <v>15</v>
      </c>
    </row>
    <row r="94" spans="3:17">
      <c r="G94" s="2">
        <v>43616</v>
      </c>
      <c r="H94" t="s">
        <v>95</v>
      </c>
      <c r="I94" s="14">
        <v>25.56</v>
      </c>
    </row>
    <row r="95" spans="3:17">
      <c r="G95" s="2">
        <v>43642</v>
      </c>
      <c r="H95" t="s">
        <v>76</v>
      </c>
      <c r="I95" s="14">
        <v>77.62</v>
      </c>
    </row>
    <row r="96" spans="3:17">
      <c r="G96" s="2">
        <v>43642</v>
      </c>
      <c r="H96" t="s">
        <v>77</v>
      </c>
      <c r="I96" s="14">
        <v>127.38</v>
      </c>
    </row>
    <row r="97" spans="7:9">
      <c r="G97" s="2">
        <v>43677</v>
      </c>
      <c r="H97" t="s">
        <v>22</v>
      </c>
      <c r="I97" s="14">
        <v>85.9</v>
      </c>
    </row>
    <row r="98" spans="7:9">
      <c r="G98" s="2">
        <v>43684</v>
      </c>
      <c r="H98" t="s">
        <v>100</v>
      </c>
      <c r="I98" s="14">
        <v>15</v>
      </c>
    </row>
    <row r="99" spans="7:9">
      <c r="G99" s="2">
        <v>43707</v>
      </c>
      <c r="H99" t="s">
        <v>95</v>
      </c>
      <c r="I99" s="14">
        <v>25.56</v>
      </c>
    </row>
    <row r="103" spans="7:9">
      <c r="G103" s="1" t="s">
        <v>99</v>
      </c>
      <c r="I103" s="14">
        <f>SUM(I73:I99)</f>
        <v>1839.3200000000002</v>
      </c>
    </row>
  </sheetData>
  <sortState ref="G72:I83">
    <sortCondition ref="G68:G79"/>
  </sortState>
  <pageMargins left="0.7" right="0.7" top="0.75" bottom="0.75" header="0.3" footer="0.3"/>
  <pageSetup orientation="portrait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N78"/>
  <sheetViews>
    <sheetView topLeftCell="A73" zoomScale="80" zoomScaleNormal="80" workbookViewId="0">
      <selection activeCell="C21" sqref="C21"/>
    </sheetView>
  </sheetViews>
  <sheetFormatPr defaultRowHeight="14.3"/>
  <cols>
    <col min="2" max="2" width="26.75" bestFit="1" customWidth="1"/>
    <col min="3" max="3" width="15.875" customWidth="1"/>
    <col min="4" max="4" width="16.75" customWidth="1"/>
    <col min="5" max="5" width="16" bestFit="1" customWidth="1"/>
    <col min="6" max="6" width="11.75" bestFit="1" customWidth="1"/>
    <col min="7" max="7" width="9" customWidth="1"/>
    <col min="8" max="8" width="11.75" customWidth="1"/>
    <col min="13" max="13" width="27.75" bestFit="1" customWidth="1"/>
  </cols>
  <sheetData>
    <row r="1" spans="2:14" ht="21.1">
      <c r="E1" s="8" t="s">
        <v>70</v>
      </c>
    </row>
    <row r="3" spans="2:14">
      <c r="B3" s="1" t="s">
        <v>41</v>
      </c>
      <c r="C3" s="1" t="s">
        <v>64</v>
      </c>
      <c r="D3" s="1" t="s">
        <v>40</v>
      </c>
      <c r="E3" s="1" t="s">
        <v>62</v>
      </c>
      <c r="F3" s="1" t="s">
        <v>63</v>
      </c>
      <c r="G3" s="1" t="s">
        <v>71</v>
      </c>
      <c r="H3" s="1" t="s">
        <v>18</v>
      </c>
      <c r="I3" s="1" t="s">
        <v>69</v>
      </c>
      <c r="J3" s="1" t="s">
        <v>45</v>
      </c>
    </row>
    <row r="4" spans="2:14">
      <c r="B4" t="s">
        <v>61</v>
      </c>
      <c r="C4" t="s">
        <v>33</v>
      </c>
      <c r="D4" s="6">
        <v>-3845.2</v>
      </c>
      <c r="E4">
        <v>-79.403999999999996</v>
      </c>
      <c r="F4">
        <v>242.13</v>
      </c>
      <c r="G4" s="9">
        <f>H4/F4</f>
        <v>20.000000000000004</v>
      </c>
      <c r="H4" s="4">
        <v>4842.6000000000004</v>
      </c>
      <c r="I4" s="7">
        <f>H4/$H$21</f>
        <v>2.3798200927562727E-2</v>
      </c>
      <c r="M4" t="str">
        <f>B4</f>
        <v>SPDR S&amp;P Biotech</v>
      </c>
      <c r="N4" s="7">
        <f>I4</f>
        <v>2.3798200927562727E-2</v>
      </c>
    </row>
    <row r="5" spans="2:14">
      <c r="B5" t="s">
        <v>42</v>
      </c>
      <c r="C5" t="s">
        <v>31</v>
      </c>
      <c r="D5" s="6">
        <v>-3433.01</v>
      </c>
      <c r="E5">
        <v>-8.6039999999999992</v>
      </c>
      <c r="F5" s="4">
        <v>11.39</v>
      </c>
      <c r="G5" s="9">
        <f t="shared" ref="G5:G19" si="0">H5/F5</f>
        <v>3503.0702370500439</v>
      </c>
      <c r="H5" s="4">
        <v>39899.97</v>
      </c>
      <c r="I5" s="7">
        <f t="shared" ref="I5:I20" si="1">H5/$H$21</f>
        <v>0.19608216723737762</v>
      </c>
      <c r="M5" t="str">
        <f t="shared" ref="M5:M19" si="2">B5</f>
        <v>BlackRock</v>
      </c>
      <c r="N5" s="7">
        <f t="shared" ref="N5:N19" si="3">I5</f>
        <v>0.19608216723737762</v>
      </c>
    </row>
    <row r="6" spans="2:14">
      <c r="B6" t="s">
        <v>60</v>
      </c>
      <c r="C6" t="s">
        <v>29</v>
      </c>
      <c r="D6" s="6">
        <v>-1901.88</v>
      </c>
      <c r="E6">
        <v>-6.34</v>
      </c>
      <c r="F6" s="4">
        <v>41.17</v>
      </c>
      <c r="G6" s="9">
        <f t="shared" si="0"/>
        <v>728.69006558173419</v>
      </c>
      <c r="H6" s="4">
        <v>30000.17</v>
      </c>
      <c r="I6" s="7">
        <f t="shared" si="1"/>
        <v>0.147431147218651</v>
      </c>
      <c r="M6" t="str">
        <f t="shared" si="2"/>
        <v>Amercian Funds WAMU</v>
      </c>
      <c r="N6" s="7">
        <f t="shared" si="3"/>
        <v>0.147431147218651</v>
      </c>
    </row>
    <row r="7" spans="2:14">
      <c r="B7" t="s">
        <v>48</v>
      </c>
      <c r="C7" t="s">
        <v>16</v>
      </c>
      <c r="D7" s="6">
        <v>-1757.84</v>
      </c>
      <c r="E7">
        <v>-17.756</v>
      </c>
      <c r="F7" s="4">
        <v>31.2</v>
      </c>
      <c r="G7" s="9">
        <f t="shared" si="0"/>
        <v>317.3</v>
      </c>
      <c r="H7" s="4">
        <v>9899.76</v>
      </c>
      <c r="I7" s="7">
        <f t="shared" si="1"/>
        <v>4.8650823444977565E-2</v>
      </c>
      <c r="M7" t="str">
        <f t="shared" si="2"/>
        <v>Eagle Mid-Cap</v>
      </c>
      <c r="N7" s="7">
        <f t="shared" si="3"/>
        <v>4.8650823444977565E-2</v>
      </c>
    </row>
    <row r="8" spans="2:14">
      <c r="B8" t="s">
        <v>55</v>
      </c>
      <c r="C8" t="s">
        <v>36</v>
      </c>
      <c r="D8" s="6">
        <v>-1151.68</v>
      </c>
      <c r="E8">
        <v>-5.7729999999999997</v>
      </c>
      <c r="F8" s="4">
        <v>37.590000000000003</v>
      </c>
      <c r="G8" s="9">
        <f t="shared" si="0"/>
        <v>530.72998137802597</v>
      </c>
      <c r="H8" s="4">
        <v>19950.14</v>
      </c>
      <c r="I8" s="7">
        <f t="shared" si="1"/>
        <v>9.8041845341966333E-2</v>
      </c>
      <c r="M8" t="str">
        <f t="shared" si="2"/>
        <v>Oppenheimer Intl Growth</v>
      </c>
      <c r="N8" s="7">
        <f t="shared" si="3"/>
        <v>9.8041845341966333E-2</v>
      </c>
    </row>
    <row r="9" spans="2:14">
      <c r="B9" t="s">
        <v>54</v>
      </c>
      <c r="C9" t="s">
        <v>35</v>
      </c>
      <c r="D9" s="6">
        <v>-1114.9000000000001</v>
      </c>
      <c r="E9">
        <v>-9.3689999999999998</v>
      </c>
      <c r="F9" s="4">
        <v>40.24</v>
      </c>
      <c r="G9" s="9">
        <f t="shared" si="0"/>
        <v>295.73011928429423</v>
      </c>
      <c r="H9" s="4">
        <v>11900.18</v>
      </c>
      <c r="I9" s="7">
        <f t="shared" si="1"/>
        <v>5.8481574921356992E-2</v>
      </c>
      <c r="M9" t="str">
        <f t="shared" si="2"/>
        <v>MFS Research</v>
      </c>
      <c r="N9" s="7">
        <f t="shared" si="3"/>
        <v>5.8481574921356992E-2</v>
      </c>
    </row>
    <row r="10" spans="2:14">
      <c r="B10" t="s">
        <v>47</v>
      </c>
      <c r="C10" t="s">
        <v>14</v>
      </c>
      <c r="D10" s="6">
        <v>-1110.53</v>
      </c>
      <c r="E10">
        <v>-11.218</v>
      </c>
      <c r="F10" s="4">
        <v>52.06</v>
      </c>
      <c r="G10" s="9">
        <f t="shared" si="0"/>
        <v>190.16000768344216</v>
      </c>
      <c r="H10" s="4">
        <v>9899.73</v>
      </c>
      <c r="I10" s="7">
        <f t="shared" si="1"/>
        <v>4.8650676014665779E-2</v>
      </c>
      <c r="M10" t="str">
        <f t="shared" si="2"/>
        <v>Gabelli Small Cap Growth</v>
      </c>
      <c r="N10" s="7">
        <f t="shared" si="3"/>
        <v>4.8650676014665779E-2</v>
      </c>
    </row>
    <row r="11" spans="2:14">
      <c r="B11" t="s">
        <v>58</v>
      </c>
      <c r="C11" t="s">
        <v>30</v>
      </c>
      <c r="D11" s="6">
        <v>-1036.83</v>
      </c>
      <c r="E11">
        <v>-10.473000000000001</v>
      </c>
      <c r="F11" s="4">
        <v>14.8</v>
      </c>
      <c r="G11" s="9">
        <f t="shared" si="0"/>
        <v>668.92027027027029</v>
      </c>
      <c r="H11" s="4">
        <v>9900.02</v>
      </c>
      <c r="I11" s="7">
        <f t="shared" si="1"/>
        <v>4.8652101174346325E-2</v>
      </c>
      <c r="M11" t="str">
        <f t="shared" si="2"/>
        <v>Deutsche Global Inf.</v>
      </c>
      <c r="N11" s="7">
        <f t="shared" si="3"/>
        <v>4.8652101174346325E-2</v>
      </c>
    </row>
    <row r="12" spans="2:14">
      <c r="B12" t="s">
        <v>51</v>
      </c>
      <c r="C12" t="s">
        <v>34</v>
      </c>
      <c r="D12" s="6">
        <v>-784</v>
      </c>
      <c r="E12">
        <v>-8.26</v>
      </c>
      <c r="F12" s="4">
        <v>118.64</v>
      </c>
      <c r="G12" s="9">
        <f t="shared" si="0"/>
        <v>80</v>
      </c>
      <c r="H12" s="4">
        <v>9491.2000000000007</v>
      </c>
      <c r="I12" s="7">
        <f t="shared" si="1"/>
        <v>4.6643019172280045E-2</v>
      </c>
      <c r="M12" t="str">
        <f t="shared" si="2"/>
        <v>S&amp;P Small Cap 600</v>
      </c>
      <c r="N12" s="7">
        <f t="shared" si="3"/>
        <v>4.6643019172280045E-2</v>
      </c>
    </row>
    <row r="13" spans="2:14">
      <c r="B13" t="s">
        <v>50</v>
      </c>
      <c r="C13" t="s">
        <v>17</v>
      </c>
      <c r="D13" s="6">
        <v>-772.85</v>
      </c>
      <c r="E13">
        <v>-7.7859999999999996</v>
      </c>
      <c r="F13" s="4">
        <v>152.71</v>
      </c>
      <c r="G13" s="9">
        <f t="shared" si="0"/>
        <v>65</v>
      </c>
      <c r="H13" s="4">
        <v>9926.15</v>
      </c>
      <c r="I13" s="7">
        <f t="shared" si="1"/>
        <v>4.8780512975906895E-2</v>
      </c>
      <c r="M13" t="str">
        <f t="shared" si="2"/>
        <v>S&amp;P MidCap 400</v>
      </c>
      <c r="N13" s="7">
        <f t="shared" si="3"/>
        <v>4.8780512975906895E-2</v>
      </c>
    </row>
    <row r="14" spans="2:14">
      <c r="B14" t="s">
        <v>52</v>
      </c>
      <c r="C14" t="s">
        <v>27</v>
      </c>
      <c r="D14" s="6">
        <v>-673.65</v>
      </c>
      <c r="E14">
        <v>-13.521000000000001</v>
      </c>
      <c r="F14" s="4">
        <v>110.72</v>
      </c>
      <c r="G14" s="9">
        <f t="shared" si="0"/>
        <v>45</v>
      </c>
      <c r="H14" s="4">
        <v>4982.3999999999996</v>
      </c>
      <c r="I14" s="7">
        <f t="shared" si="1"/>
        <v>2.4485226180458536E-2</v>
      </c>
      <c r="M14" t="str">
        <f t="shared" si="2"/>
        <v>Ishares Global Healthcare</v>
      </c>
      <c r="N14" s="7">
        <f t="shared" si="3"/>
        <v>2.4485226180458536E-2</v>
      </c>
    </row>
    <row r="15" spans="2:14">
      <c r="B15" t="s">
        <v>43</v>
      </c>
      <c r="C15" t="s">
        <v>24</v>
      </c>
      <c r="D15" s="6">
        <v>-248.94</v>
      </c>
      <c r="E15">
        <v>-4.9779999999999998</v>
      </c>
      <c r="F15" s="4">
        <v>74.319999999999993</v>
      </c>
      <c r="G15" s="9">
        <f t="shared" si="0"/>
        <v>67.280005382131336</v>
      </c>
      <c r="H15" s="4">
        <v>5000.25</v>
      </c>
      <c r="I15" s="7">
        <f t="shared" si="1"/>
        <v>2.4572947215967769E-2</v>
      </c>
      <c r="M15" t="str">
        <f t="shared" si="2"/>
        <v>Cohen &amp; Steers</v>
      </c>
      <c r="N15" s="7">
        <f t="shared" si="3"/>
        <v>2.4572947215967769E-2</v>
      </c>
    </row>
    <row r="16" spans="2:14">
      <c r="B16" t="s">
        <v>56</v>
      </c>
      <c r="C16" t="s">
        <v>32</v>
      </c>
      <c r="D16" s="6">
        <v>-244.4</v>
      </c>
      <c r="E16">
        <v>-4.8789999999999996</v>
      </c>
      <c r="F16" s="4">
        <v>77.06</v>
      </c>
      <c r="G16" s="9">
        <f t="shared" si="0"/>
        <v>65</v>
      </c>
      <c r="H16" s="4">
        <v>5008.8999999999996</v>
      </c>
      <c r="I16" s="7">
        <f t="shared" si="1"/>
        <v>2.4615456289197729E-2</v>
      </c>
      <c r="M16" t="str">
        <f t="shared" si="2"/>
        <v>Royal Caribbean</v>
      </c>
      <c r="N16" s="7">
        <f>I16</f>
        <v>2.4615456289197729E-2</v>
      </c>
    </row>
    <row r="17" spans="2:14">
      <c r="B17" t="s">
        <v>59</v>
      </c>
      <c r="C17" t="s">
        <v>23</v>
      </c>
      <c r="D17" s="6">
        <v>-192</v>
      </c>
      <c r="E17">
        <v>-1.9390000000000001</v>
      </c>
      <c r="F17" s="4">
        <v>82.52</v>
      </c>
      <c r="G17" s="9">
        <f t="shared" si="0"/>
        <v>120</v>
      </c>
      <c r="H17" s="4">
        <v>9902.4</v>
      </c>
      <c r="I17" s="7">
        <f t="shared" si="1"/>
        <v>4.8663797312414221E-2</v>
      </c>
      <c r="M17" t="str">
        <f t="shared" si="2"/>
        <v>Vanguard REIT</v>
      </c>
      <c r="N17" s="7">
        <f t="shared" si="3"/>
        <v>4.8663797312414221E-2</v>
      </c>
    </row>
    <row r="18" spans="2:14">
      <c r="B18" t="s">
        <v>57</v>
      </c>
      <c r="C18" t="s">
        <v>37</v>
      </c>
      <c r="D18" s="6">
        <v>-62.05</v>
      </c>
      <c r="E18">
        <v>-7.8700000000000006E-2</v>
      </c>
      <c r="F18" s="4">
        <v>92.76</v>
      </c>
      <c r="G18" s="9">
        <f t="shared" si="0"/>
        <v>85</v>
      </c>
      <c r="H18" s="4">
        <v>7884.6</v>
      </c>
      <c r="I18" s="7">
        <f t="shared" si="1"/>
        <v>3.8747634542076789E-2</v>
      </c>
      <c r="M18" t="str">
        <f t="shared" si="2"/>
        <v>Guggenheim S&amp;P 500</v>
      </c>
      <c r="N18" s="7">
        <f t="shared" si="3"/>
        <v>3.8747634542076789E-2</v>
      </c>
    </row>
    <row r="19" spans="2:14">
      <c r="B19" t="s">
        <v>49</v>
      </c>
      <c r="C19" t="s">
        <v>26</v>
      </c>
      <c r="D19" s="6">
        <v>290.5</v>
      </c>
      <c r="E19">
        <v>-1.9370000000000001</v>
      </c>
      <c r="F19" s="4">
        <v>11.54</v>
      </c>
      <c r="G19" s="9">
        <f t="shared" si="0"/>
        <v>1299.6100519930676</v>
      </c>
      <c r="H19" s="4">
        <f>6537.05+3471+4989.45</f>
        <v>14997.5</v>
      </c>
      <c r="I19" s="7">
        <f t="shared" si="1"/>
        <v>7.3702870030793774E-2</v>
      </c>
      <c r="M19" t="str">
        <f t="shared" si="2"/>
        <v>IShares Gold</v>
      </c>
      <c r="N19" s="7">
        <f t="shared" si="3"/>
        <v>7.3702870030793774E-2</v>
      </c>
    </row>
    <row r="20" spans="2:14">
      <c r="B20" t="s">
        <v>46</v>
      </c>
      <c r="C20" t="s">
        <v>19</v>
      </c>
      <c r="D20" s="6">
        <v>305.88</v>
      </c>
      <c r="E20" t="s">
        <v>65</v>
      </c>
      <c r="F20" s="4" t="s">
        <v>66</v>
      </c>
      <c r="G20" s="4"/>
      <c r="H20" s="4"/>
      <c r="I20" s="7">
        <f t="shared" si="1"/>
        <v>0</v>
      </c>
      <c r="J20" t="s">
        <v>44</v>
      </c>
    </row>
    <row r="21" spans="2:14">
      <c r="D21" s="6"/>
      <c r="H21" s="4">
        <f>SUM(H4:H20)</f>
        <v>203485.96999999997</v>
      </c>
      <c r="I21" s="7">
        <f>SUM(I4:I20)</f>
        <v>1</v>
      </c>
    </row>
    <row r="22" spans="2:14">
      <c r="D22" s="6"/>
    </row>
    <row r="23" spans="2:14">
      <c r="B23" t="s">
        <v>53</v>
      </c>
      <c r="D23" s="6">
        <f>SUM(D4:D19)</f>
        <v>-18039.260000000002</v>
      </c>
    </row>
    <row r="24" spans="2:14">
      <c r="D24" s="6"/>
    </row>
    <row r="25" spans="2:14">
      <c r="D25" s="6"/>
    </row>
    <row r="26" spans="2:14" ht="16.3">
      <c r="C26" s="10" t="str">
        <f>"Ronda Larsen - Brokerage BRK6107-4777"</f>
        <v>Ronda Larsen - Brokerage BRK6107-4777</v>
      </c>
      <c r="D26" s="6"/>
      <c r="H26" s="4"/>
    </row>
    <row r="27" spans="2:14" ht="21.1">
      <c r="D27" s="6"/>
      <c r="K27" s="12" t="s">
        <v>74</v>
      </c>
    </row>
    <row r="28" spans="2:14">
      <c r="B28" s="1" t="s">
        <v>67</v>
      </c>
      <c r="C28" s="1" t="s">
        <v>53</v>
      </c>
      <c r="D28" s="1" t="s">
        <v>68</v>
      </c>
      <c r="E28" s="1" t="s">
        <v>72</v>
      </c>
      <c r="F28" s="1" t="s">
        <v>73</v>
      </c>
    </row>
    <row r="29" spans="2:14">
      <c r="B29" s="2">
        <v>42523</v>
      </c>
      <c r="C29" s="6">
        <v>-11350.28</v>
      </c>
      <c r="D29">
        <v>-5.5780000000000003</v>
      </c>
      <c r="E29" s="6">
        <f t="shared" ref="E29:E59" si="4">C29-C30</f>
        <v>425.72999999999956</v>
      </c>
      <c r="F29" s="6">
        <f>F30+E29</f>
        <v>6688.9799999999977</v>
      </c>
    </row>
    <row r="30" spans="2:14">
      <c r="B30" s="2">
        <f>B29-1</f>
        <v>42522</v>
      </c>
      <c r="C30" s="6">
        <v>-11776.01</v>
      </c>
      <c r="D30">
        <v>-5.7869999999999999</v>
      </c>
      <c r="E30" s="6">
        <f t="shared" si="4"/>
        <v>115.78000000000065</v>
      </c>
      <c r="F30" s="6">
        <f t="shared" ref="F30:F59" si="5">F31+E30</f>
        <v>6263.2499999999982</v>
      </c>
    </row>
    <row r="31" spans="2:14">
      <c r="B31" s="2">
        <f t="shared" ref="B31:B36" si="6">B30-1</f>
        <v>42521</v>
      </c>
      <c r="C31" s="6">
        <v>-11891.79</v>
      </c>
      <c r="D31">
        <v>-5.8440000000000003</v>
      </c>
      <c r="E31" s="6">
        <f t="shared" si="4"/>
        <v>-13.980000000001382</v>
      </c>
      <c r="F31" s="6">
        <f t="shared" si="5"/>
        <v>6147.4699999999975</v>
      </c>
    </row>
    <row r="32" spans="2:14">
      <c r="B32" s="2">
        <v>42517</v>
      </c>
      <c r="C32" s="6">
        <v>-11877.81</v>
      </c>
      <c r="D32">
        <v>-5.8369999999999997</v>
      </c>
      <c r="E32" s="6">
        <f t="shared" si="4"/>
        <v>656.98000000000138</v>
      </c>
      <c r="F32" s="6">
        <f t="shared" si="5"/>
        <v>6161.4499999999989</v>
      </c>
      <c r="H32" s="1"/>
    </row>
    <row r="33" spans="2:6">
      <c r="B33" s="2">
        <f t="shared" si="6"/>
        <v>42516</v>
      </c>
      <c r="C33" s="6">
        <v>-12534.79</v>
      </c>
      <c r="D33">
        <v>-6.16</v>
      </c>
      <c r="E33" s="6">
        <f t="shared" si="4"/>
        <v>-33.110000000000582</v>
      </c>
      <c r="F33" s="6">
        <f t="shared" si="5"/>
        <v>5504.4699999999975</v>
      </c>
    </row>
    <row r="34" spans="2:6">
      <c r="B34" s="2">
        <f t="shared" si="6"/>
        <v>42515</v>
      </c>
      <c r="C34" s="6">
        <v>-12501.68</v>
      </c>
      <c r="D34">
        <v>-6.1440000000000001</v>
      </c>
      <c r="E34" s="6">
        <f t="shared" si="4"/>
        <v>581.84000000000015</v>
      </c>
      <c r="F34" s="6">
        <f t="shared" si="5"/>
        <v>5537.5799999999981</v>
      </c>
    </row>
    <row r="35" spans="2:6">
      <c r="B35" s="2">
        <f t="shared" si="6"/>
        <v>42514</v>
      </c>
      <c r="C35" s="6">
        <v>-13083.52</v>
      </c>
      <c r="D35">
        <v>-6.43</v>
      </c>
      <c r="E35" s="6">
        <f t="shared" si="4"/>
        <v>1839.4799999999996</v>
      </c>
      <c r="F35" s="6">
        <f t="shared" si="5"/>
        <v>4955.739999999998</v>
      </c>
    </row>
    <row r="36" spans="2:6">
      <c r="B36" s="2">
        <f t="shared" si="6"/>
        <v>42513</v>
      </c>
      <c r="C36" s="6">
        <v>-14923</v>
      </c>
      <c r="D36">
        <v>-7.3339999999999996</v>
      </c>
      <c r="E36" s="6">
        <f t="shared" si="4"/>
        <v>-283.57999999999993</v>
      </c>
      <c r="F36" s="6">
        <f t="shared" si="5"/>
        <v>3116.2599999999984</v>
      </c>
    </row>
    <row r="37" spans="2:6">
      <c r="B37" s="2">
        <v>42510</v>
      </c>
      <c r="C37" s="6">
        <v>-14639.42</v>
      </c>
      <c r="D37">
        <v>-7.194</v>
      </c>
      <c r="E37" s="6">
        <f t="shared" si="4"/>
        <v>1354.0699999999997</v>
      </c>
      <c r="F37" s="6">
        <f t="shared" si="5"/>
        <v>3399.8399999999983</v>
      </c>
    </row>
    <row r="38" spans="2:6">
      <c r="B38" s="2">
        <f>B37-1</f>
        <v>42509</v>
      </c>
      <c r="C38" s="6">
        <v>-15993.49</v>
      </c>
      <c r="D38">
        <v>-7.86</v>
      </c>
      <c r="E38" s="6">
        <f t="shared" si="4"/>
        <v>-975.52000000000044</v>
      </c>
      <c r="F38" s="6">
        <f t="shared" si="5"/>
        <v>2045.7699999999986</v>
      </c>
    </row>
    <row r="39" spans="2:6">
      <c r="B39" s="2">
        <f t="shared" ref="B39:B46" si="7">B38-1</f>
        <v>42508</v>
      </c>
      <c r="C39" s="6">
        <v>-15017.97</v>
      </c>
      <c r="D39">
        <v>-7.38</v>
      </c>
      <c r="E39" s="6">
        <f t="shared" si="4"/>
        <v>-431.56999999999971</v>
      </c>
      <c r="F39" s="6">
        <f t="shared" si="5"/>
        <v>3021.2899999999991</v>
      </c>
    </row>
    <row r="40" spans="2:6">
      <c r="B40" s="2">
        <f t="shared" si="7"/>
        <v>42507</v>
      </c>
      <c r="C40" s="6">
        <v>-14586.4</v>
      </c>
      <c r="D40">
        <v>-7.1680000000000001</v>
      </c>
      <c r="E40" s="6">
        <f t="shared" si="4"/>
        <v>-1340.92</v>
      </c>
      <c r="F40" s="6">
        <f t="shared" si="5"/>
        <v>3452.8599999999988</v>
      </c>
    </row>
    <row r="41" spans="2:6">
      <c r="B41" s="2">
        <f t="shared" si="7"/>
        <v>42506</v>
      </c>
      <c r="C41" s="6">
        <v>-13245.48</v>
      </c>
      <c r="D41">
        <v>-6.5090000000000003</v>
      </c>
      <c r="E41" s="6">
        <f t="shared" si="4"/>
        <v>1488.3400000000001</v>
      </c>
      <c r="F41" s="6">
        <f t="shared" si="5"/>
        <v>4793.7799999999988</v>
      </c>
    </row>
    <row r="42" spans="2:6">
      <c r="B42" s="2">
        <v>42503</v>
      </c>
      <c r="C42" s="6">
        <v>-14733.82</v>
      </c>
      <c r="D42">
        <v>-7.2409999999999997</v>
      </c>
      <c r="E42" s="6">
        <f t="shared" si="4"/>
        <v>-1179.3199999999997</v>
      </c>
      <c r="F42" s="6">
        <f t="shared" si="5"/>
        <v>3305.4399999999987</v>
      </c>
    </row>
    <row r="43" spans="2:6">
      <c r="B43" s="2">
        <f t="shared" si="7"/>
        <v>42502</v>
      </c>
      <c r="C43" s="6">
        <v>-13554.5</v>
      </c>
      <c r="D43">
        <v>-6.6609999999999996</v>
      </c>
      <c r="E43" s="6">
        <f t="shared" si="4"/>
        <v>-11.549999999999272</v>
      </c>
      <c r="F43" s="6">
        <f t="shared" si="5"/>
        <v>4484.7599999999984</v>
      </c>
    </row>
    <row r="44" spans="2:6">
      <c r="B44" s="2">
        <f t="shared" si="7"/>
        <v>42501</v>
      </c>
      <c r="C44" s="6">
        <v>-13542.95</v>
      </c>
      <c r="D44">
        <v>-6.6550000000000002</v>
      </c>
      <c r="E44" s="6">
        <f t="shared" si="4"/>
        <v>-1147.6400000000012</v>
      </c>
      <c r="F44" s="6">
        <f t="shared" si="5"/>
        <v>4496.3099999999977</v>
      </c>
    </row>
    <row r="45" spans="2:6">
      <c r="B45" s="2">
        <f t="shared" si="7"/>
        <v>42500</v>
      </c>
      <c r="C45" s="6">
        <v>-12395.31</v>
      </c>
      <c r="D45">
        <v>-6.0910000000000002</v>
      </c>
      <c r="E45" s="6">
        <f t="shared" si="4"/>
        <v>1416.1800000000003</v>
      </c>
      <c r="F45" s="6">
        <f t="shared" si="5"/>
        <v>5643.9499999999989</v>
      </c>
    </row>
    <row r="46" spans="2:6">
      <c r="B46" s="2">
        <f t="shared" si="7"/>
        <v>42499</v>
      </c>
      <c r="C46" s="6">
        <v>-13811.49</v>
      </c>
      <c r="D46">
        <v>-6.7869999999999999</v>
      </c>
      <c r="E46" s="6">
        <f t="shared" si="4"/>
        <v>-44.389999999999418</v>
      </c>
      <c r="F46" s="6">
        <f t="shared" si="5"/>
        <v>4227.7699999999986</v>
      </c>
    </row>
    <row r="47" spans="2:6">
      <c r="B47" s="2">
        <v>42496</v>
      </c>
      <c r="C47" s="6">
        <v>-13767.1</v>
      </c>
      <c r="D47">
        <v>-6.766</v>
      </c>
      <c r="E47" s="6">
        <f t="shared" si="4"/>
        <v>559.11999999999898</v>
      </c>
      <c r="F47" s="6">
        <f t="shared" si="5"/>
        <v>4272.159999999998</v>
      </c>
    </row>
    <row r="48" spans="2:6">
      <c r="B48" s="2">
        <f>B47-1</f>
        <v>42495</v>
      </c>
      <c r="C48" s="6">
        <v>-14326.22</v>
      </c>
      <c r="D48">
        <v>-7.04</v>
      </c>
      <c r="E48" s="6">
        <f t="shared" si="4"/>
        <v>-162.40999999999985</v>
      </c>
      <c r="F48" s="6">
        <f t="shared" si="5"/>
        <v>3713.0399999999991</v>
      </c>
    </row>
    <row r="49" spans="2:6">
      <c r="B49" s="2">
        <f t="shared" ref="B49:B51" si="8">B48-1</f>
        <v>42494</v>
      </c>
      <c r="C49" s="6">
        <v>-14163.81</v>
      </c>
      <c r="D49">
        <v>-6.9610000000000003</v>
      </c>
      <c r="E49" s="6">
        <f t="shared" si="4"/>
        <v>-692.18000000000029</v>
      </c>
      <c r="F49" s="6">
        <f t="shared" si="5"/>
        <v>3875.4499999999989</v>
      </c>
    </row>
    <row r="50" spans="2:6">
      <c r="B50" s="2">
        <f t="shared" si="8"/>
        <v>42493</v>
      </c>
      <c r="C50" s="6">
        <v>-13471.63</v>
      </c>
      <c r="D50">
        <v>-6.62</v>
      </c>
      <c r="E50" s="6">
        <f t="shared" si="4"/>
        <v>-1574.619999999999</v>
      </c>
      <c r="F50" s="6">
        <f t="shared" si="5"/>
        <v>4567.6299999999992</v>
      </c>
    </row>
    <row r="51" spans="2:6">
      <c r="B51" s="2">
        <f t="shared" si="8"/>
        <v>42492</v>
      </c>
      <c r="C51" s="6">
        <v>-11897.01</v>
      </c>
      <c r="D51">
        <v>-5.8470000000000004</v>
      </c>
      <c r="E51" s="6">
        <f t="shared" si="4"/>
        <v>1274.4400000000005</v>
      </c>
      <c r="F51" s="6">
        <f t="shared" si="5"/>
        <v>6142.2499999999982</v>
      </c>
    </row>
    <row r="52" spans="2:6">
      <c r="B52" s="2">
        <v>42489</v>
      </c>
      <c r="C52" s="6">
        <v>-13171.45</v>
      </c>
      <c r="D52">
        <v>-6.4729999999999999</v>
      </c>
      <c r="E52" s="6">
        <f t="shared" si="4"/>
        <v>-384.90999999999985</v>
      </c>
      <c r="F52" s="6">
        <f t="shared" si="5"/>
        <v>4867.8099999999977</v>
      </c>
    </row>
    <row r="53" spans="2:6">
      <c r="B53" s="2">
        <f>B52-1</f>
        <v>42488</v>
      </c>
      <c r="C53" s="6">
        <v>-12786.54</v>
      </c>
      <c r="D53">
        <v>-6.2839999999999998</v>
      </c>
      <c r="E53" s="6">
        <f t="shared" si="4"/>
        <v>-931.6200000000008</v>
      </c>
      <c r="F53" s="6">
        <f t="shared" si="5"/>
        <v>5252.7199999999975</v>
      </c>
    </row>
    <row r="54" spans="2:6">
      <c r="B54" s="2">
        <f t="shared" ref="B54:B56" si="9">B53-1</f>
        <v>42487</v>
      </c>
      <c r="C54" s="6">
        <v>-11854.92</v>
      </c>
      <c r="D54">
        <v>-5.8209999999999997</v>
      </c>
      <c r="E54" s="6">
        <f t="shared" si="4"/>
        <v>671.3799999999992</v>
      </c>
      <c r="F54" s="6">
        <f t="shared" si="5"/>
        <v>6184.3399999999983</v>
      </c>
    </row>
    <row r="55" spans="2:6">
      <c r="B55" s="2">
        <f t="shared" si="9"/>
        <v>42486</v>
      </c>
      <c r="C55" s="6">
        <v>-12526.3</v>
      </c>
      <c r="D55">
        <v>-6.1559999999999997</v>
      </c>
      <c r="E55" s="6">
        <f t="shared" si="4"/>
        <v>805.65999999999985</v>
      </c>
      <c r="F55" s="6">
        <f t="shared" si="5"/>
        <v>5512.9599999999991</v>
      </c>
    </row>
    <row r="56" spans="2:6">
      <c r="B56" s="2">
        <f t="shared" si="9"/>
        <v>42485</v>
      </c>
      <c r="C56" s="6">
        <v>-13331.96</v>
      </c>
      <c r="D56">
        <v>-6.5519999999999996</v>
      </c>
      <c r="E56" s="6">
        <f t="shared" si="4"/>
        <v>-178.42999999999847</v>
      </c>
      <c r="F56" s="6">
        <f t="shared" si="5"/>
        <v>4707.2999999999993</v>
      </c>
    </row>
    <row r="57" spans="2:6">
      <c r="B57" s="2">
        <v>42482</v>
      </c>
      <c r="C57" s="6">
        <v>-13153.53</v>
      </c>
      <c r="D57">
        <v>-6.4640000000000004</v>
      </c>
      <c r="E57" s="6">
        <f t="shared" si="4"/>
        <v>46.909999999999854</v>
      </c>
      <c r="F57" s="6">
        <f t="shared" si="5"/>
        <v>4885.7299999999977</v>
      </c>
    </row>
    <row r="58" spans="2:6">
      <c r="B58" s="2">
        <f>B57-1</f>
        <v>42481</v>
      </c>
      <c r="C58" s="6">
        <v>-13200.44</v>
      </c>
      <c r="D58">
        <v>-6.4870000000000001</v>
      </c>
      <c r="E58" s="6">
        <f t="shared" si="4"/>
        <v>-1225.4500000000007</v>
      </c>
      <c r="F58" s="6">
        <f t="shared" si="5"/>
        <v>4838.8199999999979</v>
      </c>
    </row>
    <row r="59" spans="2:6">
      <c r="B59" s="2">
        <f>B58-1</f>
        <v>42480</v>
      </c>
      <c r="C59" s="6">
        <v>-11974.99</v>
      </c>
      <c r="D59">
        <v>-5.8849999999999998</v>
      </c>
      <c r="E59" s="6">
        <f t="shared" si="4"/>
        <v>-458.8799999999992</v>
      </c>
      <c r="F59" s="6">
        <f t="shared" si="5"/>
        <v>6064.2699999999986</v>
      </c>
    </row>
    <row r="60" spans="2:6">
      <c r="B60" s="2">
        <v>42479</v>
      </c>
      <c r="C60" s="6">
        <v>-11516.11</v>
      </c>
      <c r="D60">
        <v>-5.6589999999999998</v>
      </c>
      <c r="E60" s="6">
        <f t="shared" ref="E60:E66" si="10">C60-C61</f>
        <v>1110.6800000000003</v>
      </c>
      <c r="F60" s="6">
        <f t="shared" ref="F60:F75" si="11">F61+E60</f>
        <v>6523.1499999999978</v>
      </c>
    </row>
    <row r="61" spans="2:6">
      <c r="B61" s="2">
        <v>42478</v>
      </c>
      <c r="C61" s="6">
        <v>-12626.79</v>
      </c>
      <c r="D61">
        <v>-6.2050000000000001</v>
      </c>
      <c r="E61" s="6">
        <f t="shared" si="10"/>
        <v>742.63999999999942</v>
      </c>
      <c r="F61" s="6">
        <f t="shared" si="11"/>
        <v>5412.4699999999975</v>
      </c>
    </row>
    <row r="62" spans="2:6">
      <c r="B62" s="2">
        <v>42475</v>
      </c>
      <c r="C62" s="6">
        <v>-13369.43</v>
      </c>
      <c r="D62">
        <v>-6.57</v>
      </c>
      <c r="E62" s="6">
        <f t="shared" si="10"/>
        <v>113.56999999999971</v>
      </c>
      <c r="F62" s="6">
        <f t="shared" si="11"/>
        <v>4669.8299999999981</v>
      </c>
    </row>
    <row r="63" spans="2:6">
      <c r="B63" s="2">
        <v>42474</v>
      </c>
      <c r="C63" s="6">
        <v>-13483</v>
      </c>
      <c r="D63">
        <v>-6.6260000000000003</v>
      </c>
      <c r="E63" s="6">
        <f t="shared" si="10"/>
        <v>-525.61000000000058</v>
      </c>
      <c r="F63" s="6">
        <f t="shared" si="11"/>
        <v>4556.2599999999984</v>
      </c>
    </row>
    <row r="64" spans="2:6">
      <c r="B64" s="2">
        <v>42473</v>
      </c>
      <c r="C64" s="6">
        <v>-12957.39</v>
      </c>
      <c r="D64">
        <v>-6.3680000000000003</v>
      </c>
      <c r="E64" s="6">
        <f t="shared" si="10"/>
        <v>1437.6900000000005</v>
      </c>
      <c r="F64" s="6">
        <f t="shared" si="11"/>
        <v>5081.869999999999</v>
      </c>
    </row>
    <row r="65" spans="2:6">
      <c r="B65" s="2">
        <v>42472</v>
      </c>
      <c r="C65" s="6">
        <v>-14395.08</v>
      </c>
      <c r="D65">
        <v>-7.0739999999999998</v>
      </c>
      <c r="E65" s="6">
        <f t="shared" si="10"/>
        <v>1285.6900000000005</v>
      </c>
      <c r="F65" s="6">
        <f t="shared" si="11"/>
        <v>3644.1799999999985</v>
      </c>
    </row>
    <row r="66" spans="2:6">
      <c r="B66" s="2">
        <v>42471</v>
      </c>
      <c r="C66" s="6">
        <v>-15680.77</v>
      </c>
      <c r="D66">
        <v>-7.7060000000000004</v>
      </c>
      <c r="E66" s="6">
        <f t="shared" si="10"/>
        <v>-213.85000000000036</v>
      </c>
      <c r="F66" s="6">
        <f t="shared" si="11"/>
        <v>2358.489999999998</v>
      </c>
    </row>
    <row r="67" spans="2:6">
      <c r="B67" s="2">
        <v>42468</v>
      </c>
      <c r="C67" s="6">
        <v>-15466.92</v>
      </c>
      <c r="D67">
        <v>-6.9960000000000004</v>
      </c>
      <c r="E67" s="6">
        <f t="shared" ref="E67:E77" si="12">C67-C68</f>
        <v>791.14999999999964</v>
      </c>
      <c r="F67" s="6">
        <f t="shared" si="11"/>
        <v>2572.3399999999983</v>
      </c>
    </row>
    <row r="68" spans="2:6">
      <c r="B68" s="2">
        <v>42467</v>
      </c>
      <c r="C68" s="6">
        <v>-16258.07</v>
      </c>
      <c r="D68">
        <v>-7.1210000000000004</v>
      </c>
      <c r="E68" s="6">
        <f t="shared" si="12"/>
        <v>-1360.7299999999996</v>
      </c>
      <c r="F68" s="6">
        <f t="shared" si="11"/>
        <v>1781.1899999999987</v>
      </c>
    </row>
    <row r="69" spans="2:6">
      <c r="B69" s="2">
        <v>42466</v>
      </c>
      <c r="C69" s="6">
        <v>-14897.34</v>
      </c>
      <c r="D69">
        <v>-7.1589999999999998</v>
      </c>
      <c r="E69" s="6">
        <f t="shared" si="12"/>
        <v>1490.2200000000012</v>
      </c>
      <c r="F69" s="6">
        <f t="shared" si="11"/>
        <v>3141.9199999999983</v>
      </c>
    </row>
    <row r="70" spans="2:6">
      <c r="B70" s="2">
        <v>42465</v>
      </c>
      <c r="C70" s="6">
        <v>-16387.560000000001</v>
      </c>
      <c r="D70">
        <v>-7.5839999999999996</v>
      </c>
      <c r="E70" s="6">
        <f t="shared" si="12"/>
        <v>-1466.2300000000014</v>
      </c>
      <c r="F70" s="6">
        <f t="shared" si="11"/>
        <v>1651.6999999999971</v>
      </c>
    </row>
    <row r="71" spans="2:6">
      <c r="B71" s="2">
        <v>42464</v>
      </c>
      <c r="C71" s="6">
        <v>-14921.33</v>
      </c>
      <c r="D71">
        <v>-8.6880000000000006</v>
      </c>
      <c r="E71" s="6">
        <f t="shared" si="12"/>
        <v>-684.45000000000073</v>
      </c>
      <c r="F71" s="6">
        <f t="shared" si="11"/>
        <v>3117.9299999999985</v>
      </c>
    </row>
    <row r="72" spans="2:6">
      <c r="B72" s="2">
        <v>42461</v>
      </c>
      <c r="C72" s="6">
        <v>-14236.88</v>
      </c>
      <c r="D72">
        <v>-6.9960000000000004</v>
      </c>
      <c r="E72" s="6">
        <f t="shared" si="12"/>
        <v>253.98000000000138</v>
      </c>
      <c r="F72" s="6">
        <f t="shared" si="11"/>
        <v>3802.3799999999992</v>
      </c>
    </row>
    <row r="73" spans="2:6">
      <c r="B73" s="2">
        <v>42460</v>
      </c>
      <c r="C73" s="6">
        <v>-14490.86</v>
      </c>
      <c r="D73">
        <v>-7.1210000000000004</v>
      </c>
      <c r="E73" s="6">
        <f t="shared" si="12"/>
        <v>76.479999999999563</v>
      </c>
      <c r="F73" s="6">
        <f t="shared" si="11"/>
        <v>3548.3999999999978</v>
      </c>
    </row>
    <row r="74" spans="2:6">
      <c r="B74" s="2">
        <v>407701</v>
      </c>
      <c r="C74" s="6">
        <v>-14567.34</v>
      </c>
      <c r="D74">
        <v>-7.1589999999999998</v>
      </c>
      <c r="E74" s="6">
        <f t="shared" si="12"/>
        <v>864.6299999999992</v>
      </c>
      <c r="F74" s="6">
        <f t="shared" si="11"/>
        <v>3471.9199999999983</v>
      </c>
    </row>
    <row r="75" spans="2:6">
      <c r="B75" s="2">
        <v>42458</v>
      </c>
      <c r="C75" s="6">
        <v>-15431.97</v>
      </c>
      <c r="D75">
        <v>-7.5839999999999996</v>
      </c>
      <c r="E75" s="6">
        <f t="shared" si="12"/>
        <v>2247.8500000000004</v>
      </c>
      <c r="F75" s="6">
        <f t="shared" si="11"/>
        <v>2607.2899999999991</v>
      </c>
    </row>
    <row r="76" spans="2:6">
      <c r="B76" s="2">
        <v>42457</v>
      </c>
      <c r="C76" s="6">
        <v>-17679.82</v>
      </c>
      <c r="D76">
        <v>-8.6880000000000006</v>
      </c>
      <c r="E76" s="6">
        <f t="shared" si="12"/>
        <v>269.56999999999971</v>
      </c>
      <c r="F76" s="6">
        <f>F77+E76</f>
        <v>359.43999999999869</v>
      </c>
    </row>
    <row r="77" spans="2:6">
      <c r="B77" s="2">
        <v>42453</v>
      </c>
      <c r="C77" s="6">
        <v>-17949.39</v>
      </c>
      <c r="D77">
        <v>-8.8209999999999997</v>
      </c>
      <c r="E77" s="6">
        <f t="shared" si="12"/>
        <v>89.869999999998981</v>
      </c>
      <c r="F77" s="6">
        <f>E77</f>
        <v>89.869999999998981</v>
      </c>
    </row>
    <row r="78" spans="2:6">
      <c r="B78" s="2">
        <v>42452</v>
      </c>
      <c r="C78" s="6">
        <v>-18039.259999999998</v>
      </c>
      <c r="D78">
        <v>-8.8650000000000002</v>
      </c>
      <c r="E78" s="11" t="s">
        <v>66</v>
      </c>
    </row>
  </sheetData>
  <sortState ref="B62:D64">
    <sortCondition descending="1" ref="B29:B31"/>
  </sortState>
  <pageMargins left="0.7" right="0.7" top="0.75" bottom="0.75" header="0.3" footer="0.3"/>
  <pageSetup scale="58" orientation="landscape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B2:E6"/>
  <sheetViews>
    <sheetView workbookViewId="0">
      <selection activeCell="D12" sqref="D12"/>
    </sheetView>
  </sheetViews>
  <sheetFormatPr defaultRowHeight="14.3"/>
  <cols>
    <col min="2" max="2" width="21.75" bestFit="1" customWidth="1"/>
    <col min="3" max="3" width="2.125" customWidth="1"/>
    <col min="4" max="4" width="10.875" bestFit="1" customWidth="1"/>
  </cols>
  <sheetData>
    <row r="2" spans="2:5">
      <c r="D2" t="s">
        <v>89</v>
      </c>
      <c r="E2" t="s">
        <v>107</v>
      </c>
    </row>
    <row r="3" spans="2:5">
      <c r="B3" t="s">
        <v>105</v>
      </c>
      <c r="D3" s="14">
        <v>3500</v>
      </c>
      <c r="E3" s="7">
        <v>3.5499999999999997E-2</v>
      </c>
    </row>
    <row r="4" spans="2:5">
      <c r="B4" t="s">
        <v>106</v>
      </c>
      <c r="D4" s="14">
        <v>2500</v>
      </c>
      <c r="E4" s="7">
        <v>2.6100000000000002E-2</v>
      </c>
    </row>
    <row r="5" spans="2:5">
      <c r="B5" t="s">
        <v>103</v>
      </c>
      <c r="D5" s="14">
        <v>62000</v>
      </c>
      <c r="E5" s="7"/>
    </row>
    <row r="6" spans="2:5">
      <c r="B6" t="s">
        <v>104</v>
      </c>
      <c r="D6" s="14">
        <f>D5-(SUM(D3:D4))</f>
        <v>56000</v>
      </c>
      <c r="E6" s="7"/>
    </row>
  </sheetData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Queries</vt:lpstr>
      <vt:lpstr>GainLoss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</dc:creator>
  <cp:lastModifiedBy>Sean Kessler</cp:lastModifiedBy>
  <cp:lastPrinted>2016-03-24T20:32:09Z</cp:lastPrinted>
  <dcterms:created xsi:type="dcterms:W3CDTF">2016-03-24T12:49:38Z</dcterms:created>
  <dcterms:modified xsi:type="dcterms:W3CDTF">2019-12-06T00:55:02Z</dcterms:modified>
</cp:coreProperties>
</file>