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8535" windowHeight="7680" activeTab="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3"/>
  <c r="B47"/>
  <c r="B48" s="1"/>
  <c r="B49" s="1"/>
  <c r="B50" s="1"/>
  <c r="B51" s="1"/>
  <c r="B52" s="1"/>
  <c r="B46"/>
  <c r="B45"/>
  <c r="B44"/>
  <c r="E51"/>
  <c r="E50"/>
  <c r="E44"/>
  <c r="E45" s="1"/>
  <c r="E46" s="1"/>
  <c r="E47" s="1"/>
  <c r="E48" s="1"/>
  <c r="E49" s="1"/>
  <c r="E43"/>
  <c r="G42"/>
  <c r="D43"/>
  <c r="C51"/>
  <c r="C47"/>
  <c r="C48" s="1"/>
  <c r="C49" s="1"/>
  <c r="C50" s="1"/>
  <c r="C46"/>
  <c r="C45"/>
  <c r="C44"/>
  <c r="E40"/>
  <c r="E37"/>
  <c r="E36"/>
  <c r="E35"/>
  <c r="E34"/>
  <c r="E33"/>
  <c r="E32"/>
  <c r="E31"/>
  <c r="E30"/>
  <c r="E29"/>
  <c r="E28"/>
  <c r="E27"/>
  <c r="E38"/>
  <c r="B14"/>
  <c r="C14" s="1"/>
  <c r="B9"/>
  <c r="B13"/>
  <c r="C9"/>
  <c r="C21"/>
  <c r="B21"/>
  <c r="C19"/>
  <c r="C6"/>
  <c r="C5"/>
  <c r="H26" i="1"/>
  <c r="H23"/>
  <c r="H22"/>
  <c r="H24"/>
  <c r="H16"/>
  <c r="H13"/>
  <c r="H12"/>
  <c r="H11"/>
  <c r="H10"/>
  <c r="H9"/>
  <c r="H8"/>
  <c r="H7"/>
  <c r="H6"/>
  <c r="H5"/>
  <c r="H4"/>
  <c r="H3"/>
  <c r="H14"/>
  <c r="B12"/>
  <c r="B11"/>
  <c r="B10"/>
  <c r="B5"/>
  <c r="B7" s="1"/>
  <c r="A5"/>
  <c r="B8" i="3" l="1"/>
  <c r="F48" s="1"/>
  <c r="F51"/>
  <c r="E52"/>
  <c r="F52" s="1"/>
  <c r="F45"/>
  <c r="F49"/>
  <c r="C52"/>
  <c r="C8" l="1"/>
  <c r="F46"/>
  <c r="F43"/>
  <c r="F44"/>
  <c r="F50"/>
  <c r="F47"/>
  <c r="F54" l="1"/>
  <c r="F55" s="1"/>
  <c r="F56" s="1"/>
</calcChain>
</file>

<file path=xl/sharedStrings.xml><?xml version="1.0" encoding="utf-8"?>
<sst xmlns="http://schemas.openxmlformats.org/spreadsheetml/2006/main" count="102" uniqueCount="74">
  <si>
    <t>Year</t>
  </si>
  <si>
    <t>Month</t>
  </si>
  <si>
    <t>Date</t>
  </si>
  <si>
    <t>Day</t>
  </si>
  <si>
    <t>LongDate</t>
  </si>
  <si>
    <t>03-01-2012,2.37</t>
  </si>
  <si>
    <t>04-01-2012,2.39807245440367</t>
  </si>
  <si>
    <t>05-01-2012,2.42569901137615</t>
  </si>
  <si>
    <t>06-01-2012,2.45289346155963</t>
  </si>
  <si>
    <t>07-01-2012,2.47966959559633</t>
  </si>
  <si>
    <t>08-01-2012,2.50604120412844</t>
  </si>
  <si>
    <t>09-01-2012,2.53202207779817</t>
  </si>
  <si>
    <t>10-01-2012,2.55762600724771</t>
  </si>
  <si>
    <t>11-01-2012,2.58286678311927</t>
  </si>
  <si>
    <t>12-01-2012,2.60775819605505</t>
  </si>
  <si>
    <t>01-01-2013,5.09925155743119</t>
  </si>
  <si>
    <t>02-01-2013,5.1491729859633</t>
  </si>
  <si>
    <t>03-01-2013,5.2</t>
  </si>
  <si>
    <t>04-01-2013,5.33157615433987</t>
  </si>
  <si>
    <t>05-01-2013,5.59777783818477</t>
  </si>
  <si>
    <t>06-01-2013,5.95966809378186</t>
  </si>
  <si>
    <t>07-01-2013,6.37830996337826</t>
  </si>
  <si>
    <t>08-01-2013,6.81476648922113</t>
  </si>
  <si>
    <t>09-01-2013,7.23010071355759</t>
  </si>
  <si>
    <t>10-01-2013,7.5853756786348</t>
  </si>
  <si>
    <t>11-01-2013,7.84165442669989</t>
  </si>
  <si>
    <t>12-01-2013,7.96</t>
  </si>
  <si>
    <t>01-01-2014,8.78750802140741</t>
  </si>
  <si>
    <t>02-01-2014,8.8130823983407</t>
  </si>
  <si>
    <t>03-01-2014,8.84</t>
  </si>
  <si>
    <t>04-01-2014,8.92442249657064</t>
  </si>
  <si>
    <t>05-01-2014,9.10415034293553</t>
  </si>
  <si>
    <t>06-01-2014,9.35167407407407</t>
  </si>
  <si>
    <t>07-01-2014,9.63948422496571</t>
  </si>
  <si>
    <t>08-01-2014,9.94007133058985</t>
  </si>
  <si>
    <t>09-01-2014,10.2259259259259</t>
  </si>
  <si>
    <t>10-01-2014,10.4695385459534</t>
  </si>
  <si>
    <t>11-01-2014,10.6433997256516</t>
  </si>
  <si>
    <t>12-01-2014,10.72</t>
  </si>
  <si>
    <t>01-01-2015,10.7208082115687</t>
  </si>
  <si>
    <t>02-01-2015,10.7202043231494</t>
  </si>
  <si>
    <t>03-01-2015,10.72</t>
  </si>
  <si>
    <t>symbol</t>
  </si>
  <si>
    <t>asof</t>
  </si>
  <si>
    <t>type</t>
  </si>
  <si>
    <t>value</t>
  </si>
  <si>
    <t>MIDD</t>
  </si>
  <si>
    <t>free_cashflow</t>
  </si>
  <si>
    <t>Beta</t>
  </si>
  <si>
    <t>Symbol</t>
  </si>
  <si>
    <t>Historical Market Return</t>
  </si>
  <si>
    <t>Risk Free Rate</t>
  </si>
  <si>
    <t>WACC</t>
  </si>
  <si>
    <t>Cost Of Debt (rD)</t>
  </si>
  <si>
    <t>Total Debt (D)</t>
  </si>
  <si>
    <t>Corporate Tax Rate (TC)</t>
  </si>
  <si>
    <t>Total Equity (E)</t>
  </si>
  <si>
    <t>Total Firm Value (V)</t>
  </si>
  <si>
    <t>Cost Of Equity (rE)</t>
  </si>
  <si>
    <t>Market Cap</t>
  </si>
  <si>
    <t>Interest Expense</t>
  </si>
  <si>
    <t>TaxRate</t>
  </si>
  <si>
    <t>Total Debt</t>
  </si>
  <si>
    <t>Interest Rate</t>
  </si>
  <si>
    <t>Oustanding Shares</t>
  </si>
  <si>
    <t>Free Cashflow</t>
  </si>
  <si>
    <t>FCF Growth</t>
  </si>
  <si>
    <t>Growth</t>
  </si>
  <si>
    <t>Starting Cashflow</t>
  </si>
  <si>
    <t>Cashflow</t>
  </si>
  <si>
    <t>Discounted</t>
  </si>
  <si>
    <t>Present Value</t>
  </si>
  <si>
    <t>Less Debt</t>
  </si>
  <si>
    <t>Share Price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</si>
</sst>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2" fontId="0" fillId="0" borderId="0" xfId="0" applyNumberFormat="1"/>
    <xf numFmtId="14" fontId="0" fillId="0" borderId="0" xfId="0" applyNumberFormat="1"/>
    <xf numFmtId="22" fontId="0" fillId="0" borderId="0" xfId="0" applyNumberFormat="1"/>
    <xf numFmtId="164" fontId="0" fillId="0" borderId="0" xfId="0" applyNumberFormat="1"/>
    <xf numFmtId="10" fontId="0" fillId="0" borderId="0" xfId="0" applyNumberFormat="1"/>
    <xf numFmtId="4" fontId="0" fillId="0" borderId="0" xfId="0" applyNumberFormat="1"/>
    <xf numFmtId="0" fontId="0" fillId="2" borderId="0" xfId="0" applyFill="1"/>
    <xf numFmtId="10" fontId="0" fillId="2" borderId="0" xfId="0" applyNumberFormat="1" applyFill="1"/>
    <xf numFmtId="3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8"/>
  <sheetViews>
    <sheetView zoomScale="80" zoomScaleNormal="80" workbookViewId="0">
      <selection activeCell="H14" sqref="H14"/>
    </sheetView>
  </sheetViews>
  <sheetFormatPr defaultRowHeight="15"/>
  <cols>
    <col min="5" max="5" width="29.140625" bestFit="1" customWidth="1"/>
    <col min="6" max="6" width="10.5703125" bestFit="1" customWidth="1"/>
  </cols>
  <sheetData>
    <row r="2" spans="1:8">
      <c r="A2" t="s">
        <v>0</v>
      </c>
      <c r="B2" t="s">
        <v>1</v>
      </c>
      <c r="C2" t="s">
        <v>3</v>
      </c>
      <c r="E2" t="s">
        <v>5</v>
      </c>
    </row>
    <row r="3" spans="1:8">
      <c r="A3">
        <v>2015</v>
      </c>
      <c r="B3">
        <v>12</v>
      </c>
      <c r="C3">
        <v>15</v>
      </c>
      <c r="E3" t="s">
        <v>6</v>
      </c>
      <c r="F3" s="3">
        <v>42339</v>
      </c>
      <c r="G3">
        <v>19.79</v>
      </c>
      <c r="H3">
        <f t="shared" ref="H3:H13" si="0">(G3-G4)/G4</f>
        <v>0.17657550535077282</v>
      </c>
    </row>
    <row r="4" spans="1:8">
      <c r="E4" t="s">
        <v>7</v>
      </c>
      <c r="F4" s="3">
        <v>41974</v>
      </c>
      <c r="G4">
        <v>16.82</v>
      </c>
      <c r="H4">
        <f t="shared" si="0"/>
        <v>0.23494860499265796</v>
      </c>
    </row>
    <row r="5" spans="1:8">
      <c r="A5">
        <f>A3*10000</f>
        <v>20150000</v>
      </c>
      <c r="B5">
        <f>B3*100</f>
        <v>1200</v>
      </c>
      <c r="E5" t="s">
        <v>8</v>
      </c>
      <c r="F5" s="3">
        <v>41609</v>
      </c>
      <c r="G5">
        <v>13.62</v>
      </c>
      <c r="H5">
        <f t="shared" si="0"/>
        <v>0.18229166666666663</v>
      </c>
    </row>
    <row r="6" spans="1:8">
      <c r="E6" t="s">
        <v>9</v>
      </c>
      <c r="F6" s="3">
        <v>41244</v>
      </c>
      <c r="G6">
        <v>11.52</v>
      </c>
      <c r="H6">
        <f t="shared" si="0"/>
        <v>0.35529411764705876</v>
      </c>
    </row>
    <row r="7" spans="1:8">
      <c r="A7" t="s">
        <v>4</v>
      </c>
      <c r="B7">
        <f>A5+B5+C3</f>
        <v>20151215</v>
      </c>
      <c r="E7" t="s">
        <v>10</v>
      </c>
      <c r="F7" s="3">
        <v>40878</v>
      </c>
      <c r="G7">
        <v>8.5</v>
      </c>
      <c r="H7">
        <f t="shared" si="0"/>
        <v>0.10821382007822687</v>
      </c>
    </row>
    <row r="8" spans="1:8">
      <c r="E8" t="s">
        <v>11</v>
      </c>
      <c r="F8" s="3">
        <v>40513</v>
      </c>
      <c r="G8">
        <v>7.67</v>
      </c>
      <c r="H8">
        <f t="shared" si="0"/>
        <v>0.24512987012987009</v>
      </c>
    </row>
    <row r="9" spans="1:8">
      <c r="E9" t="s">
        <v>12</v>
      </c>
      <c r="F9" s="3">
        <v>40148</v>
      </c>
      <c r="G9">
        <v>6.16</v>
      </c>
      <c r="H9">
        <f t="shared" si="0"/>
        <v>0.37807606263982113</v>
      </c>
    </row>
    <row r="10" spans="1:8">
      <c r="A10" t="s">
        <v>0</v>
      </c>
      <c r="B10">
        <f>INT(B7/10000)</f>
        <v>2015</v>
      </c>
      <c r="E10" t="s">
        <v>13</v>
      </c>
      <c r="F10" s="3">
        <v>39783</v>
      </c>
      <c r="G10">
        <v>4.47</v>
      </c>
      <c r="H10">
        <f t="shared" si="0"/>
        <v>0.23822714681440441</v>
      </c>
    </row>
    <row r="11" spans="1:8">
      <c r="A11" t="s">
        <v>1</v>
      </c>
      <c r="B11">
        <f>INT(B7/100)-INT(B10)*100</f>
        <v>12</v>
      </c>
      <c r="E11" t="s">
        <v>14</v>
      </c>
      <c r="F11" s="3">
        <v>39114</v>
      </c>
      <c r="G11">
        <v>3.61</v>
      </c>
      <c r="H11">
        <f t="shared" si="0"/>
        <v>1.0747126436781609</v>
      </c>
    </row>
    <row r="12" spans="1:8">
      <c r="A12" t="s">
        <v>3</v>
      </c>
      <c r="B12">
        <f>B7-(INT(B7/100)*100)</f>
        <v>15</v>
      </c>
      <c r="E12" t="s">
        <v>15</v>
      </c>
      <c r="F12" s="3">
        <v>39052</v>
      </c>
      <c r="G12">
        <v>1.74</v>
      </c>
      <c r="H12">
        <f t="shared" si="0"/>
        <v>1.1481481481481479</v>
      </c>
    </row>
    <row r="13" spans="1:8">
      <c r="A13" t="s">
        <v>2</v>
      </c>
      <c r="E13" t="s">
        <v>16</v>
      </c>
      <c r="F13" s="3">
        <v>38687</v>
      </c>
      <c r="G13">
        <v>0.81</v>
      </c>
      <c r="H13">
        <f t="shared" si="0"/>
        <v>5.2307692307692308</v>
      </c>
    </row>
    <row r="14" spans="1:8">
      <c r="E14" t="s">
        <v>17</v>
      </c>
      <c r="F14" s="3">
        <v>38322</v>
      </c>
      <c r="G14">
        <v>0.13</v>
      </c>
      <c r="H14">
        <f>(G14-G15)/G15</f>
        <v>-0.96130952380952384</v>
      </c>
    </row>
    <row r="15" spans="1:8">
      <c r="E15" t="s">
        <v>18</v>
      </c>
      <c r="F15" s="3">
        <v>37956</v>
      </c>
      <c r="G15">
        <v>3.36</v>
      </c>
    </row>
    <row r="16" spans="1:8">
      <c r="E16" t="s">
        <v>19</v>
      </c>
      <c r="H16">
        <f>AVERAGE(H3:H14)</f>
        <v>0.70092310775879119</v>
      </c>
    </row>
    <row r="17" spans="2:8">
      <c r="B17" s="1">
        <v>1.09751545122951E+24</v>
      </c>
      <c r="E17" t="s">
        <v>20</v>
      </c>
    </row>
    <row r="18" spans="2:8">
      <c r="E18" t="s">
        <v>21</v>
      </c>
    </row>
    <row r="19" spans="2:8">
      <c r="E19" t="s">
        <v>22</v>
      </c>
    </row>
    <row r="20" spans="2:8">
      <c r="E20" t="s">
        <v>23</v>
      </c>
    </row>
    <row r="21" spans="2:8">
      <c r="E21" t="s">
        <v>24</v>
      </c>
    </row>
    <row r="22" spans="2:8">
      <c r="E22" t="s">
        <v>25</v>
      </c>
      <c r="G22">
        <v>10.72</v>
      </c>
      <c r="H22">
        <f t="shared" ref="H22:H23" si="1">(G22-G23)/G23</f>
        <v>0.21266968325791866</v>
      </c>
    </row>
    <row r="23" spans="2:8">
      <c r="E23" t="s">
        <v>26</v>
      </c>
      <c r="G23">
        <v>8.84</v>
      </c>
      <c r="H23">
        <f t="shared" si="1"/>
        <v>0.7</v>
      </c>
    </row>
    <row r="24" spans="2:8">
      <c r="E24" t="s">
        <v>27</v>
      </c>
      <c r="G24">
        <v>5.2</v>
      </c>
      <c r="H24">
        <f>(G24-G25)/G25</f>
        <v>1.1940928270042195</v>
      </c>
    </row>
    <row r="25" spans="2:8">
      <c r="E25" t="s">
        <v>28</v>
      </c>
      <c r="G25">
        <v>2.37</v>
      </c>
    </row>
    <row r="26" spans="2:8">
      <c r="E26" t="s">
        <v>29</v>
      </c>
      <c r="H26">
        <f>AVERAGE(H22:H24)</f>
        <v>0.70225417008737934</v>
      </c>
    </row>
    <row r="27" spans="2:8">
      <c r="E27" t="s">
        <v>30</v>
      </c>
    </row>
    <row r="28" spans="2:8">
      <c r="E28" t="s">
        <v>31</v>
      </c>
    </row>
    <row r="29" spans="2:8">
      <c r="E29" t="s">
        <v>32</v>
      </c>
    </row>
    <row r="30" spans="2:8">
      <c r="E30" t="s">
        <v>33</v>
      </c>
    </row>
    <row r="31" spans="2:8">
      <c r="E31" t="s">
        <v>34</v>
      </c>
    </row>
    <row r="32" spans="2:8">
      <c r="E32" t="s">
        <v>35</v>
      </c>
    </row>
    <row r="33" spans="5:5">
      <c r="E33" t="s">
        <v>36</v>
      </c>
    </row>
    <row r="34" spans="5:5">
      <c r="E34" t="s">
        <v>37</v>
      </c>
    </row>
    <row r="35" spans="5:5">
      <c r="E35" t="s">
        <v>38</v>
      </c>
    </row>
    <row r="36" spans="5:5">
      <c r="E36" t="s">
        <v>39</v>
      </c>
    </row>
    <row r="37" spans="5:5">
      <c r="E37" t="s">
        <v>40</v>
      </c>
    </row>
    <row r="38" spans="5:5">
      <c r="E38" t="s">
        <v>41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O56"/>
  <sheetViews>
    <sheetView tabSelected="1" zoomScale="80" zoomScaleNormal="80" workbookViewId="0">
      <selection activeCell="A2" sqref="A2"/>
    </sheetView>
  </sheetViews>
  <sheetFormatPr defaultRowHeight="15"/>
  <cols>
    <col min="1" max="1" width="25.5703125" bestFit="1" customWidth="1"/>
    <col min="2" max="2" width="17.42578125" bestFit="1" customWidth="1"/>
    <col min="3" max="3" width="13.85546875" bestFit="1" customWidth="1"/>
    <col min="4" max="4" width="15.85546875" bestFit="1" customWidth="1"/>
    <col min="5" max="6" width="18.7109375" bestFit="1" customWidth="1"/>
    <col min="7" max="7" width="18.42578125" bestFit="1" customWidth="1"/>
    <col min="11" max="11" width="13.85546875" bestFit="1" customWidth="1"/>
    <col min="14" max="14" width="17.28515625" bestFit="1" customWidth="1"/>
  </cols>
  <sheetData>
    <row r="3" spans="1:15">
      <c r="A3" t="s">
        <v>49</v>
      </c>
      <c r="B3" t="s">
        <v>46</v>
      </c>
    </row>
    <row r="4" spans="1:15">
      <c r="A4" t="s">
        <v>48</v>
      </c>
      <c r="B4">
        <v>1.15548944473266</v>
      </c>
    </row>
    <row r="5" spans="1:15">
      <c r="A5" t="s">
        <v>50</v>
      </c>
      <c r="B5">
        <v>0.11</v>
      </c>
      <c r="C5" s="9">
        <f>B5</f>
        <v>0.11</v>
      </c>
      <c r="D5">
        <f>B5</f>
        <v>0.11</v>
      </c>
    </row>
    <row r="6" spans="1:15">
      <c r="A6" t="s">
        <v>51</v>
      </c>
      <c r="B6">
        <v>3.3999999999999998E-3</v>
      </c>
      <c r="C6" s="9">
        <f>B6</f>
        <v>3.3999999999999998E-3</v>
      </c>
      <c r="H6" s="2"/>
    </row>
    <row r="8" spans="1:15">
      <c r="A8" t="s">
        <v>52</v>
      </c>
      <c r="B8" s="8">
        <f>((B12/B13)*B14)+((B11/B13)*B9*(1-B19))</f>
        <v>0.11131585189458283</v>
      </c>
      <c r="C8" s="9">
        <f>B8</f>
        <v>0.11131585189458283</v>
      </c>
    </row>
    <row r="9" spans="1:15">
      <c r="A9" t="s">
        <v>53</v>
      </c>
      <c r="B9" s="8">
        <f>B21*(1-B19)</f>
        <v>1.3793541528942009E-2</v>
      </c>
      <c r="C9" s="9">
        <f>B9</f>
        <v>1.3793541528942009E-2</v>
      </c>
      <c r="N9" s="5"/>
      <c r="O9" s="5"/>
    </row>
    <row r="10" spans="1:15">
      <c r="A10" t="s">
        <v>55</v>
      </c>
      <c r="N10" s="5"/>
      <c r="O10" s="5"/>
    </row>
    <row r="11" spans="1:15">
      <c r="A11" t="s">
        <v>54</v>
      </c>
      <c r="B11" s="5">
        <v>756340000</v>
      </c>
      <c r="N11" s="5"/>
      <c r="O11" s="5"/>
    </row>
    <row r="12" spans="1:15">
      <c r="A12" t="s">
        <v>56</v>
      </c>
      <c r="B12" s="5">
        <v>5060000000</v>
      </c>
      <c r="N12" s="5"/>
      <c r="O12" s="5"/>
    </row>
    <row r="13" spans="1:15">
      <c r="A13" t="s">
        <v>57</v>
      </c>
      <c r="B13" s="11">
        <f>B12+B11</f>
        <v>5816340000</v>
      </c>
      <c r="C13" s="4"/>
      <c r="E13" s="5"/>
      <c r="N13" s="5"/>
      <c r="O13" s="5"/>
    </row>
    <row r="14" spans="1:15">
      <c r="A14" t="s">
        <v>58</v>
      </c>
      <c r="B14" s="8">
        <f>B6+B4*(B5-B6)</f>
        <v>0.12657517480850156</v>
      </c>
      <c r="C14" s="9">
        <f>B14</f>
        <v>0.12657517480850156</v>
      </c>
      <c r="E14" s="5"/>
      <c r="N14" s="5"/>
      <c r="O14" s="5"/>
    </row>
    <row r="15" spans="1:15">
      <c r="C15" s="4"/>
      <c r="E15" s="5"/>
      <c r="N15" s="5"/>
      <c r="O15" s="5"/>
    </row>
    <row r="16" spans="1:15">
      <c r="A16" t="s">
        <v>59</v>
      </c>
      <c r="C16" s="4"/>
      <c r="E16" s="5"/>
      <c r="N16" s="5"/>
      <c r="O16" s="5"/>
    </row>
    <row r="17" spans="1:14">
      <c r="C17" s="4"/>
      <c r="E17" s="5"/>
      <c r="N17" s="5"/>
    </row>
    <row r="18" spans="1:14">
      <c r="A18" t="s">
        <v>60</v>
      </c>
      <c r="B18" s="5">
        <v>15592000</v>
      </c>
      <c r="C18" s="4"/>
      <c r="E18" s="5"/>
    </row>
    <row r="19" spans="1:14">
      <c r="A19" t="s">
        <v>61</v>
      </c>
      <c r="B19">
        <v>0.33090000000000003</v>
      </c>
      <c r="C19" s="9">
        <f>B19</f>
        <v>0.33090000000000003</v>
      </c>
      <c r="E19" s="5"/>
    </row>
    <row r="20" spans="1:14">
      <c r="A20" t="s">
        <v>62</v>
      </c>
      <c r="B20" s="5">
        <v>756340000</v>
      </c>
      <c r="C20" s="4"/>
      <c r="E20" s="5"/>
    </row>
    <row r="21" spans="1:14">
      <c r="A21" t="s">
        <v>63</v>
      </c>
      <c r="B21" s="8">
        <f>B18/B20</f>
        <v>2.0615067297776131E-2</v>
      </c>
      <c r="C21" s="9">
        <f>B21</f>
        <v>2.0615067297776131E-2</v>
      </c>
      <c r="E21" s="5"/>
    </row>
    <row r="22" spans="1:14">
      <c r="A22" t="s">
        <v>64</v>
      </c>
      <c r="B22" s="10">
        <v>57320000</v>
      </c>
      <c r="C22" s="4"/>
      <c r="E22" s="5"/>
      <c r="K22" s="5"/>
      <c r="L22" s="7"/>
    </row>
    <row r="23" spans="1:14">
      <c r="C23" s="4"/>
      <c r="E23" s="5"/>
      <c r="K23" s="5"/>
      <c r="L23" s="7"/>
    </row>
    <row r="24" spans="1:14">
      <c r="C24" s="4"/>
      <c r="E24" s="5"/>
      <c r="K24" s="5"/>
      <c r="L24" s="7"/>
    </row>
    <row r="25" spans="1:14">
      <c r="B25" t="s">
        <v>65</v>
      </c>
      <c r="C25" s="4"/>
      <c r="E25" s="5"/>
      <c r="K25" s="5"/>
      <c r="L25" s="7"/>
    </row>
    <row r="26" spans="1:14">
      <c r="A26" t="s">
        <v>42</v>
      </c>
      <c r="B26" t="s">
        <v>43</v>
      </c>
      <c r="C26" t="s">
        <v>44</v>
      </c>
      <c r="D26" t="s">
        <v>45</v>
      </c>
      <c r="F26" s="6"/>
    </row>
    <row r="27" spans="1:14">
      <c r="A27" t="s">
        <v>46</v>
      </c>
      <c r="B27" s="4">
        <v>42339</v>
      </c>
      <c r="C27" t="s">
        <v>47</v>
      </c>
      <c r="D27" s="5">
        <v>215000000</v>
      </c>
      <c r="E27" s="6">
        <f t="shared" ref="E27:E37" si="0">(D27-D28)/D28</f>
        <v>-2.7149321266968326E-2</v>
      </c>
    </row>
    <row r="28" spans="1:14">
      <c r="A28" t="s">
        <v>46</v>
      </c>
      <c r="B28" s="4">
        <v>41974</v>
      </c>
      <c r="C28" t="s">
        <v>47</v>
      </c>
      <c r="D28" s="5">
        <v>221000000</v>
      </c>
      <c r="E28" s="6">
        <f t="shared" si="0"/>
        <v>0.74015748031496065</v>
      </c>
    </row>
    <row r="29" spans="1:14">
      <c r="A29" t="s">
        <v>46</v>
      </c>
      <c r="B29" s="4">
        <v>41609</v>
      </c>
      <c r="C29" t="s">
        <v>47</v>
      </c>
      <c r="D29" s="5">
        <v>127000000</v>
      </c>
      <c r="E29" s="6">
        <f t="shared" si="0"/>
        <v>4.9586776859504134E-2</v>
      </c>
    </row>
    <row r="30" spans="1:14">
      <c r="A30" t="s">
        <v>46</v>
      </c>
      <c r="B30" s="4">
        <v>41244</v>
      </c>
      <c r="C30" t="s">
        <v>47</v>
      </c>
      <c r="D30" s="5">
        <v>121000000</v>
      </c>
      <c r="E30" s="6">
        <f t="shared" si="0"/>
        <v>-1.6260162601626018E-2</v>
      </c>
    </row>
    <row r="31" spans="1:14">
      <c r="A31" t="s">
        <v>46</v>
      </c>
      <c r="B31" s="4">
        <v>40878</v>
      </c>
      <c r="C31" t="s">
        <v>47</v>
      </c>
      <c r="D31" s="5">
        <v>123000000</v>
      </c>
      <c r="E31" s="6">
        <f t="shared" si="0"/>
        <v>0.29473684210526313</v>
      </c>
    </row>
    <row r="32" spans="1:14">
      <c r="A32" t="s">
        <v>46</v>
      </c>
      <c r="B32" s="4">
        <v>40513</v>
      </c>
      <c r="C32" t="s">
        <v>47</v>
      </c>
      <c r="D32" s="5">
        <v>95000000</v>
      </c>
      <c r="E32" s="6">
        <f t="shared" si="0"/>
        <v>0</v>
      </c>
    </row>
    <row r="33" spans="1:7">
      <c r="A33" t="s">
        <v>46</v>
      </c>
      <c r="B33" s="4">
        <v>40148</v>
      </c>
      <c r="C33" t="s">
        <v>47</v>
      </c>
      <c r="D33" s="5">
        <v>95000000</v>
      </c>
      <c r="E33" s="6">
        <f t="shared" si="0"/>
        <v>0.1728395061728395</v>
      </c>
    </row>
    <row r="34" spans="1:7">
      <c r="A34" t="s">
        <v>46</v>
      </c>
      <c r="B34" s="4">
        <v>39783</v>
      </c>
      <c r="C34" t="s">
        <v>47</v>
      </c>
      <c r="D34" s="5">
        <v>81000000</v>
      </c>
      <c r="E34" s="6">
        <f t="shared" si="0"/>
        <v>0.44642857142857145</v>
      </c>
    </row>
    <row r="35" spans="1:7">
      <c r="A35" t="s">
        <v>46</v>
      </c>
      <c r="B35" s="4">
        <v>39417</v>
      </c>
      <c r="C35" t="s">
        <v>47</v>
      </c>
      <c r="D35" s="5">
        <v>56000000</v>
      </c>
      <c r="E35" s="6">
        <f t="shared" si="0"/>
        <v>0.16666666666666666</v>
      </c>
    </row>
    <row r="36" spans="1:7">
      <c r="A36" t="s">
        <v>46</v>
      </c>
      <c r="B36" s="4">
        <v>39052</v>
      </c>
      <c r="C36" t="s">
        <v>47</v>
      </c>
      <c r="D36" s="5">
        <v>48000000</v>
      </c>
      <c r="E36" s="6">
        <f t="shared" si="0"/>
        <v>0.17073170731707318</v>
      </c>
    </row>
    <row r="37" spans="1:7">
      <c r="A37" t="s">
        <v>46</v>
      </c>
      <c r="B37" s="4">
        <v>38687</v>
      </c>
      <c r="C37" t="s">
        <v>47</v>
      </c>
      <c r="D37" s="5">
        <v>41000000</v>
      </c>
      <c r="E37" s="6">
        <f t="shared" si="0"/>
        <v>1.411764705882353</v>
      </c>
    </row>
    <row r="38" spans="1:7">
      <c r="A38" t="s">
        <v>46</v>
      </c>
      <c r="B38" s="4">
        <v>38322</v>
      </c>
      <c r="C38" t="s">
        <v>47</v>
      </c>
      <c r="D38" s="5">
        <v>17000000</v>
      </c>
      <c r="E38" s="6">
        <f>(D38-D39)/D39</f>
        <v>-0.41379310344827586</v>
      </c>
    </row>
    <row r="39" spans="1:7">
      <c r="A39" t="s">
        <v>46</v>
      </c>
      <c r="B39" s="4">
        <v>37956</v>
      </c>
      <c r="C39" t="s">
        <v>47</v>
      </c>
      <c r="D39" s="5">
        <v>29000000</v>
      </c>
    </row>
    <row r="40" spans="1:7">
      <c r="D40" t="s">
        <v>66</v>
      </c>
      <c r="E40" s="6">
        <f>AVERAGE(E27:E38)</f>
        <v>0.24964247245253013</v>
      </c>
    </row>
    <row r="41" spans="1:7">
      <c r="G41" t="s">
        <v>68</v>
      </c>
    </row>
    <row r="42" spans="1:7">
      <c r="D42" t="s">
        <v>67</v>
      </c>
      <c r="E42" t="s">
        <v>69</v>
      </c>
      <c r="F42" t="s">
        <v>70</v>
      </c>
      <c r="G42" s="5">
        <f>D27</f>
        <v>215000000</v>
      </c>
    </row>
    <row r="43" spans="1:7">
      <c r="B43">
        <v>1</v>
      </c>
      <c r="C43" s="3">
        <v>42705</v>
      </c>
      <c r="D43" s="6">
        <f>E40</f>
        <v>0.24964247245253013</v>
      </c>
      <c r="E43" s="5">
        <f>G42*(1+D43)</f>
        <v>268673131.57729399</v>
      </c>
      <c r="F43" s="5">
        <f>E43/((1+$B$8)^B43)</f>
        <v>241761269.86693946</v>
      </c>
    </row>
    <row r="44" spans="1:7">
      <c r="B44">
        <f>B43+1</f>
        <v>2</v>
      </c>
      <c r="C44" s="3">
        <f>C43+365</f>
        <v>43070</v>
      </c>
      <c r="D44" s="6">
        <v>0.22523775476548399</v>
      </c>
      <c r="E44" s="5">
        <f>E43*(1+D44)</f>
        <v>329188464.49957514</v>
      </c>
      <c r="F44" s="5">
        <f t="shared" ref="F44:F52" si="1">E44/((1+$B$8)^B44)</f>
        <v>266544416.67148963</v>
      </c>
    </row>
    <row r="45" spans="1:7">
      <c r="B45">
        <f t="shared" ref="B45:B52" si="2">B44+1</f>
        <v>3</v>
      </c>
      <c r="C45" s="3">
        <f>C44+365</f>
        <v>43435</v>
      </c>
      <c r="D45" s="6">
        <v>0.200833035419798</v>
      </c>
      <c r="E45" s="5">
        <f>E44*(1+D45)</f>
        <v>395300383.05020726</v>
      </c>
      <c r="F45" s="5">
        <f t="shared" si="1"/>
        <v>288014735.32493627</v>
      </c>
    </row>
    <row r="46" spans="1:7">
      <c r="B46">
        <f t="shared" si="2"/>
        <v>4</v>
      </c>
      <c r="C46" s="3">
        <f t="shared" ref="C46:C52" si="3">C45+365</f>
        <v>43800</v>
      </c>
      <c r="D46" s="6">
        <v>0.176428316074113</v>
      </c>
      <c r="E46" s="5">
        <f>E45*(1+D46)</f>
        <v>465042563.97520715</v>
      </c>
      <c r="F46" s="5">
        <f t="shared" si="1"/>
        <v>304889640.06516004</v>
      </c>
    </row>
    <row r="47" spans="1:7">
      <c r="B47">
        <f t="shared" si="2"/>
        <v>5</v>
      </c>
      <c r="C47" s="3">
        <f>C46+366</f>
        <v>44166</v>
      </c>
      <c r="D47" s="6">
        <v>0.152023596728427</v>
      </c>
      <c r="E47" s="5">
        <f>E46*(1+D47)</f>
        <v>535740007.18252772</v>
      </c>
      <c r="F47" s="5">
        <f t="shared" si="1"/>
        <v>316057814.84562057</v>
      </c>
    </row>
    <row r="48" spans="1:7">
      <c r="B48">
        <f t="shared" si="2"/>
        <v>6</v>
      </c>
      <c r="C48" s="3">
        <f t="shared" si="3"/>
        <v>44531</v>
      </c>
      <c r="D48" s="6">
        <v>0.127618877382742</v>
      </c>
      <c r="E48" s="5">
        <f>E47*(1+D48)</f>
        <v>604110545.46818411</v>
      </c>
      <c r="F48" s="5">
        <f t="shared" si="1"/>
        <v>320694389.22937989</v>
      </c>
    </row>
    <row r="49" spans="2:6">
      <c r="B49">
        <f t="shared" si="2"/>
        <v>7</v>
      </c>
      <c r="C49" s="3">
        <f t="shared" si="3"/>
        <v>44896</v>
      </c>
      <c r="D49" s="6">
        <v>0.103214158037056</v>
      </c>
      <c r="E49" s="5">
        <f>E48*(1+D49)</f>
        <v>666463306.77998936</v>
      </c>
      <c r="F49" s="5">
        <f t="shared" si="1"/>
        <v>318356469.0432027</v>
      </c>
    </row>
    <row r="50" spans="2:6">
      <c r="B50">
        <f t="shared" si="2"/>
        <v>8</v>
      </c>
      <c r="C50" s="3">
        <f t="shared" si="3"/>
        <v>45261</v>
      </c>
      <c r="D50" s="6">
        <v>7.8809438691370901E-2</v>
      </c>
      <c r="E50" s="5">
        <f>E49*(1+D50)</f>
        <v>718986905.89571524</v>
      </c>
      <c r="F50" s="5">
        <f t="shared" si="1"/>
        <v>309044420.70789689</v>
      </c>
    </row>
    <row r="51" spans="2:6">
      <c r="B51">
        <f t="shared" si="2"/>
        <v>9</v>
      </c>
      <c r="C51" s="3">
        <f>C50+366</f>
        <v>45627</v>
      </c>
      <c r="D51" s="6">
        <v>5.4404719345685401E-2</v>
      </c>
      <c r="E51" s="5">
        <f>E50*(1+D51)</f>
        <v>758103186.72419429</v>
      </c>
      <c r="F51" s="5">
        <f t="shared" si="1"/>
        <v>293218075.78496605</v>
      </c>
    </row>
    <row r="52" spans="2:6">
      <c r="B52">
        <f t="shared" si="2"/>
        <v>10</v>
      </c>
      <c r="C52" s="3">
        <f t="shared" si="3"/>
        <v>45992</v>
      </c>
      <c r="D52" s="6">
        <v>2.9999999999999898E-2</v>
      </c>
      <c r="E52" s="5">
        <f>(E51*(1+D52))/(B8-D52)</f>
        <v>9602632993.8497276</v>
      </c>
      <c r="F52" s="5">
        <f t="shared" si="1"/>
        <v>3342067666.188448</v>
      </c>
    </row>
    <row r="54" spans="2:6">
      <c r="E54" t="s">
        <v>71</v>
      </c>
      <c r="F54" s="5">
        <f>SUM(F43:F52)</f>
        <v>6000648897.7280388</v>
      </c>
    </row>
    <row r="55" spans="2:6">
      <c r="E55" t="s">
        <v>72</v>
      </c>
      <c r="F55" s="5">
        <f>F54-B11</f>
        <v>5244308897.7280388</v>
      </c>
    </row>
    <row r="56" spans="2:6">
      <c r="E56" t="s">
        <v>73</v>
      </c>
      <c r="F56" s="5">
        <f>F55/B22</f>
        <v>91.49178118855616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2016-02-01T00:09:09Z</dcterms:created>
  <dcterms:modified xsi:type="dcterms:W3CDTF">2016-02-04T02:54:45Z</dcterms:modified>
</cp:coreProperties>
</file>